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 сесія\2 засідання\8. фінансові питання\внесення змін до бюджету\"/>
    </mc:Choice>
  </mc:AlternateContent>
  <bookViews>
    <workbookView xWindow="0" yWindow="0" windowWidth="20490" windowHeight="7620" tabRatio="741"/>
  </bookViews>
  <sheets>
    <sheet name="Дод 3  (2)" sheetId="8" r:id="rId1"/>
  </sheets>
  <externalReferences>
    <externalReference r:id="rId2"/>
  </externalReferences>
  <definedNames>
    <definedName name="_xlnm.Print_Titles" localSheetId="0">'Дод 3  (2)'!$9:$13</definedName>
    <definedName name="_xlnm.Print_Area" localSheetId="0">'Дод 3  (2)'!$A$1:$P$387</definedName>
  </definedNames>
  <calcPr calcId="162913" fullCalcOnLoad="1"/>
</workbook>
</file>

<file path=xl/calcChain.xml><?xml version="1.0" encoding="utf-8"?>
<calcChain xmlns="http://schemas.openxmlformats.org/spreadsheetml/2006/main">
  <c r="K75" i="8" l="1"/>
  <c r="K71" i="8"/>
  <c r="G255" i="8"/>
  <c r="G274" i="8"/>
  <c r="G148" i="8"/>
  <c r="F148" i="8"/>
  <c r="G94" i="8"/>
  <c r="F94" i="8"/>
  <c r="F236" i="8"/>
  <c r="K391" i="8"/>
  <c r="J391" i="8"/>
  <c r="F295" i="8"/>
  <c r="F286" i="8"/>
  <c r="K332" i="8"/>
  <c r="K330" i="8"/>
  <c r="G209" i="8"/>
  <c r="K95" i="8"/>
  <c r="F267" i="8"/>
  <c r="K267" i="8"/>
  <c r="K346" i="8"/>
  <c r="K351" i="8"/>
  <c r="K315" i="8"/>
  <c r="K355" i="8"/>
  <c r="G236" i="8"/>
  <c r="F274" i="8"/>
  <c r="G249" i="8"/>
  <c r="F249" i="8"/>
  <c r="F244" i="8"/>
  <c r="G248" i="8"/>
  <c r="F248" i="8"/>
  <c r="G246" i="8"/>
  <c r="F246" i="8"/>
  <c r="G244" i="8"/>
  <c r="G251" i="8"/>
  <c r="F251" i="8"/>
  <c r="H379" i="8"/>
  <c r="G17" i="8"/>
  <c r="F252" i="8"/>
  <c r="H244" i="8"/>
  <c r="H249" i="8"/>
  <c r="G315" i="8"/>
  <c r="G206" i="8"/>
  <c r="F206" i="8"/>
  <c r="F209" i="8"/>
  <c r="F131" i="8"/>
  <c r="G75" i="8"/>
  <c r="F75" i="8"/>
  <c r="G71" i="8"/>
  <c r="F71" i="8"/>
  <c r="K69" i="8"/>
  <c r="K232" i="8"/>
  <c r="K145" i="8"/>
  <c r="J145" i="8"/>
  <c r="P145" i="8"/>
  <c r="O231" i="8"/>
  <c r="J231" i="8"/>
  <c r="P231" i="8"/>
  <c r="J229" i="8"/>
  <c r="K352" i="8"/>
  <c r="F49" i="8"/>
  <c r="F56" i="8"/>
  <c r="H264" i="8"/>
  <c r="F32" i="8"/>
  <c r="F17" i="8"/>
  <c r="K86" i="8"/>
  <c r="K102" i="8"/>
  <c r="K87" i="8"/>
  <c r="O87" i="8"/>
  <c r="J87" i="8"/>
  <c r="F87" i="8"/>
  <c r="F86" i="8"/>
  <c r="E103" i="8"/>
  <c r="J103" i="8"/>
  <c r="E97" i="8"/>
  <c r="J97" i="8"/>
  <c r="F95" i="8"/>
  <c r="F124" i="8"/>
  <c r="F123" i="8"/>
  <c r="F134" i="8"/>
  <c r="F132" i="8"/>
  <c r="F380" i="8"/>
  <c r="K249" i="8"/>
  <c r="F52" i="8"/>
  <c r="K56" i="8"/>
  <c r="K52" i="8"/>
  <c r="K379" i="8"/>
  <c r="K148" i="8"/>
  <c r="K32" i="8"/>
  <c r="O232" i="8"/>
  <c r="J232" i="8"/>
  <c r="P232" i="8"/>
  <c r="O145" i="8"/>
  <c r="P103" i="8"/>
  <c r="P97" i="8"/>
  <c r="K286" i="8"/>
  <c r="K244" i="8"/>
  <c r="F114" i="8"/>
  <c r="F102" i="8"/>
  <c r="K302" i="8"/>
  <c r="H286" i="8"/>
  <c r="K322" i="8"/>
  <c r="K326" i="8"/>
  <c r="K329" i="8"/>
  <c r="F69" i="8"/>
  <c r="G270" i="8"/>
  <c r="G267" i="8"/>
  <c r="G264" i="8"/>
  <c r="F270" i="8"/>
  <c r="F264" i="8"/>
  <c r="F315" i="8"/>
  <c r="G366" i="8"/>
  <c r="F366" i="8"/>
  <c r="G243" i="8"/>
  <c r="F243" i="8"/>
  <c r="H75" i="8"/>
  <c r="H71" i="8"/>
  <c r="F24" i="8"/>
  <c r="F19" i="8"/>
  <c r="F25" i="8"/>
  <c r="G52" i="8"/>
  <c r="H19" i="8"/>
  <c r="H24" i="8"/>
  <c r="G19" i="8"/>
  <c r="G24" i="8"/>
  <c r="K337" i="8"/>
  <c r="E21" i="8"/>
  <c r="E23" i="8"/>
  <c r="E24" i="8"/>
  <c r="P24" i="8"/>
  <c r="L312" i="8"/>
  <c r="M312" i="8"/>
  <c r="N312" i="8"/>
  <c r="O312" i="8"/>
  <c r="K354" i="8"/>
  <c r="K312" i="8"/>
  <c r="J354" i="8"/>
  <c r="P354" i="8"/>
  <c r="J312" i="8"/>
  <c r="P312" i="8"/>
  <c r="H274" i="8"/>
  <c r="F255" i="8"/>
  <c r="H267" i="8"/>
  <c r="K317" i="8"/>
  <c r="K314" i="8"/>
  <c r="H248" i="8"/>
  <c r="G58" i="8"/>
  <c r="F58" i="8"/>
  <c r="O286" i="8"/>
  <c r="J286" i="8"/>
  <c r="O282" i="8"/>
  <c r="K282" i="8"/>
  <c r="F96" i="8"/>
  <c r="K141" i="8"/>
  <c r="H242" i="8"/>
  <c r="H240" i="8"/>
  <c r="H52" i="8"/>
  <c r="G69" i="8"/>
  <c r="J321" i="8"/>
  <c r="P321" i="8"/>
  <c r="K321" i="8"/>
  <c r="O311" i="8"/>
  <c r="K311" i="8"/>
  <c r="F47" i="8"/>
  <c r="E47" i="8"/>
  <c r="K44" i="8"/>
  <c r="O44" i="8"/>
  <c r="J44" i="8"/>
  <c r="P44" i="8"/>
  <c r="E135" i="8"/>
  <c r="P135" i="8"/>
  <c r="E136" i="8"/>
  <c r="E137" i="8"/>
  <c r="E138" i="8"/>
  <c r="E139" i="8"/>
  <c r="P139" i="8"/>
  <c r="E140" i="8"/>
  <c r="P140" i="8"/>
  <c r="F89" i="8"/>
  <c r="K93" i="8"/>
  <c r="K84" i="8"/>
  <c r="O315" i="8"/>
  <c r="O337" i="8"/>
  <c r="J337" i="8"/>
  <c r="E124" i="8"/>
  <c r="P124" i="8"/>
  <c r="O265" i="8"/>
  <c r="J265" i="8"/>
  <c r="P265" i="8"/>
  <c r="K99" i="8"/>
  <c r="K62" i="8"/>
  <c r="O101" i="8"/>
  <c r="O90" i="8"/>
  <c r="K90" i="8"/>
  <c r="K305" i="8"/>
  <c r="O95" i="8"/>
  <c r="J95" i="8"/>
  <c r="O141" i="8"/>
  <c r="O109" i="8"/>
  <c r="O56" i="8"/>
  <c r="J56" i="8"/>
  <c r="K43" i="8"/>
  <c r="O43" i="8"/>
  <c r="L314" i="8"/>
  <c r="M314" i="8"/>
  <c r="M305" i="8"/>
  <c r="N314" i="8"/>
  <c r="N305" i="8"/>
  <c r="O329" i="8"/>
  <c r="J329" i="8"/>
  <c r="P329" i="8"/>
  <c r="O293" i="8"/>
  <c r="J293" i="8"/>
  <c r="P293" i="8"/>
  <c r="E125" i="8"/>
  <c r="F90" i="8"/>
  <c r="O359" i="8"/>
  <c r="F51" i="8"/>
  <c r="F44" i="8"/>
  <c r="E44" i="8"/>
  <c r="E70" i="8"/>
  <c r="O55" i="8"/>
  <c r="J55" i="8"/>
  <c r="E55" i="8"/>
  <c r="E52" i="8"/>
  <c r="E132" i="8"/>
  <c r="O361" i="8"/>
  <c r="J361" i="8"/>
  <c r="P361" i="8"/>
  <c r="G42" i="8"/>
  <c r="G79" i="8"/>
  <c r="F79" i="8"/>
  <c r="G20" i="8"/>
  <c r="G22" i="8"/>
  <c r="G38" i="8"/>
  <c r="G30" i="8"/>
  <c r="G18" i="8"/>
  <c r="F379" i="8"/>
  <c r="G379" i="8"/>
  <c r="G375" i="8"/>
  <c r="G365" i="8"/>
  <c r="G363" i="8"/>
  <c r="G273" i="8"/>
  <c r="G271" i="8"/>
  <c r="F273" i="8"/>
  <c r="F271" i="8"/>
  <c r="G242" i="8"/>
  <c r="G240" i="8"/>
  <c r="G235" i="8"/>
  <c r="G234" i="8"/>
  <c r="G93" i="8"/>
  <c r="G84" i="8"/>
  <c r="F93" i="8"/>
  <c r="F84" i="8"/>
  <c r="O383" i="8"/>
  <c r="J383" i="8"/>
  <c r="E383" i="8"/>
  <c r="O382" i="8"/>
  <c r="J382" i="8"/>
  <c r="P382" i="8"/>
  <c r="O381" i="8"/>
  <c r="E380" i="8"/>
  <c r="P380" i="8"/>
  <c r="O379" i="8"/>
  <c r="J379" i="8"/>
  <c r="N378" i="8"/>
  <c r="N377" i="8"/>
  <c r="M378" i="8"/>
  <c r="M377" i="8"/>
  <c r="L378" i="8"/>
  <c r="L377" i="8"/>
  <c r="K378" i="8"/>
  <c r="K377" i="8"/>
  <c r="I378" i="8"/>
  <c r="I377" i="8"/>
  <c r="H378" i="8"/>
  <c r="H377" i="8"/>
  <c r="G378" i="8"/>
  <c r="G377" i="8"/>
  <c r="J376" i="8"/>
  <c r="J375" i="8"/>
  <c r="E376" i="8"/>
  <c r="E375" i="8"/>
  <c r="P375" i="8"/>
  <c r="O375" i="8"/>
  <c r="N375" i="8"/>
  <c r="M375" i="8"/>
  <c r="M371" i="8"/>
  <c r="M365" i="8"/>
  <c r="M363" i="8"/>
  <c r="L375" i="8"/>
  <c r="K375" i="8"/>
  <c r="K371" i="8"/>
  <c r="I375" i="8"/>
  <c r="H375" i="8"/>
  <c r="H365" i="8"/>
  <c r="H363" i="8"/>
  <c r="F375" i="8"/>
  <c r="F365" i="8"/>
  <c r="F363" i="8"/>
  <c r="O374" i="8"/>
  <c r="J374" i="8"/>
  <c r="P374" i="8"/>
  <c r="O373" i="8"/>
  <c r="J373" i="8"/>
  <c r="P373" i="8"/>
  <c r="O372" i="8"/>
  <c r="J372" i="8"/>
  <c r="E372" i="8"/>
  <c r="N371" i="8"/>
  <c r="L371" i="8"/>
  <c r="I371" i="8"/>
  <c r="H371" i="8"/>
  <c r="G371" i="8"/>
  <c r="F371" i="8"/>
  <c r="E371" i="8"/>
  <c r="P371" i="8"/>
  <c r="O370" i="8"/>
  <c r="J370" i="8"/>
  <c r="P370" i="8"/>
  <c r="E370" i="8"/>
  <c r="O369" i="8"/>
  <c r="J369" i="8"/>
  <c r="J364" i="8"/>
  <c r="P364" i="8"/>
  <c r="O368" i="8"/>
  <c r="E368" i="8"/>
  <c r="O367" i="8"/>
  <c r="J367" i="8"/>
  <c r="E367" i="8"/>
  <c r="O366" i="8"/>
  <c r="J366" i="8"/>
  <c r="P366" i="8"/>
  <c r="P365" i="8"/>
  <c r="E366" i="8"/>
  <c r="I365" i="8"/>
  <c r="I363" i="8"/>
  <c r="K364" i="8"/>
  <c r="O364" i="8"/>
  <c r="J360" i="8"/>
  <c r="E360" i="8"/>
  <c r="E359" i="8"/>
  <c r="J358" i="8"/>
  <c r="E358" i="8"/>
  <c r="P358" i="8"/>
  <c r="O357" i="8"/>
  <c r="J357" i="8"/>
  <c r="E357" i="8"/>
  <c r="P357" i="8"/>
  <c r="O356" i="8"/>
  <c r="J356" i="8"/>
  <c r="E356" i="8"/>
  <c r="O355" i="8"/>
  <c r="J355" i="8"/>
  <c r="E355" i="8"/>
  <c r="O353" i="8"/>
  <c r="J353" i="8"/>
  <c r="E353" i="8"/>
  <c r="O352" i="8"/>
  <c r="J352" i="8"/>
  <c r="P352" i="8"/>
  <c r="O351" i="8"/>
  <c r="E351" i="8"/>
  <c r="O350" i="8"/>
  <c r="J350" i="8"/>
  <c r="E350" i="8"/>
  <c r="O349" i="8"/>
  <c r="J349" i="8"/>
  <c r="E349" i="8"/>
  <c r="O348" i="8"/>
  <c r="J348" i="8"/>
  <c r="E348" i="8"/>
  <c r="O347" i="8"/>
  <c r="J347" i="8"/>
  <c r="E347" i="8"/>
  <c r="O346" i="8"/>
  <c r="J346" i="8"/>
  <c r="E346" i="8"/>
  <c r="O345" i="8"/>
  <c r="O344" i="8"/>
  <c r="E344" i="8"/>
  <c r="E343" i="8"/>
  <c r="O342" i="8"/>
  <c r="J342" i="8"/>
  <c r="P342" i="8"/>
  <c r="E342" i="8"/>
  <c r="E341" i="8"/>
  <c r="N341" i="8"/>
  <c r="M341" i="8"/>
  <c r="M325" i="8"/>
  <c r="M339" i="8"/>
  <c r="M333" i="8"/>
  <c r="L341" i="8"/>
  <c r="I341" i="8"/>
  <c r="H341" i="8"/>
  <c r="G341" i="8"/>
  <c r="F341" i="8"/>
  <c r="O340" i="8"/>
  <c r="J340" i="8"/>
  <c r="E340" i="8"/>
  <c r="E339" i="8"/>
  <c r="N339" i="8"/>
  <c r="L339" i="8"/>
  <c r="I339" i="8"/>
  <c r="H339" i="8"/>
  <c r="G339" i="8"/>
  <c r="F339" i="8"/>
  <c r="O338" i="8"/>
  <c r="J338" i="8"/>
  <c r="E338" i="8"/>
  <c r="E337" i="8"/>
  <c r="O336" i="8"/>
  <c r="J336" i="8"/>
  <c r="E336" i="8"/>
  <c r="O335" i="8"/>
  <c r="J335" i="8"/>
  <c r="P335" i="8"/>
  <c r="O334" i="8"/>
  <c r="J334" i="8"/>
  <c r="J307" i="8"/>
  <c r="P307" i="8"/>
  <c r="O333" i="8"/>
  <c r="N333" i="8"/>
  <c r="L333" i="8"/>
  <c r="J333" i="8"/>
  <c r="E333" i="8"/>
  <c r="O332" i="8"/>
  <c r="J332" i="8"/>
  <c r="E332" i="8"/>
  <c r="O331" i="8"/>
  <c r="J331" i="8"/>
  <c r="P331" i="8"/>
  <c r="O330" i="8"/>
  <c r="J330" i="8"/>
  <c r="O316" i="8"/>
  <c r="J316" i="8"/>
  <c r="O319" i="8"/>
  <c r="J319" i="8"/>
  <c r="O320" i="8"/>
  <c r="J320" i="8"/>
  <c r="O322" i="8"/>
  <c r="J322" i="8"/>
  <c r="O324" i="8"/>
  <c r="J324" i="8"/>
  <c r="L325" i="8"/>
  <c r="O325" i="8"/>
  <c r="O327" i="8"/>
  <c r="J327" i="8"/>
  <c r="O328" i="8"/>
  <c r="J328" i="8"/>
  <c r="P328" i="8"/>
  <c r="E330" i="8"/>
  <c r="E327" i="8"/>
  <c r="O326" i="8"/>
  <c r="J326" i="8"/>
  <c r="E326" i="8"/>
  <c r="N325" i="8"/>
  <c r="I325" i="8"/>
  <c r="H325" i="8"/>
  <c r="H314" i="8"/>
  <c r="H305" i="8"/>
  <c r="G325" i="8"/>
  <c r="F325" i="8"/>
  <c r="F314" i="8"/>
  <c r="F305" i="8"/>
  <c r="E324" i="8"/>
  <c r="O323" i="8"/>
  <c r="J323" i="8"/>
  <c r="P323" i="8"/>
  <c r="E322" i="8"/>
  <c r="E320" i="8"/>
  <c r="E319" i="8"/>
  <c r="O318" i="8"/>
  <c r="J318" i="8"/>
  <c r="P318" i="8"/>
  <c r="E317" i="8"/>
  <c r="E316" i="8"/>
  <c r="E315" i="8"/>
  <c r="K20" i="8"/>
  <c r="K22" i="8"/>
  <c r="K38" i="8"/>
  <c r="K30" i="8"/>
  <c r="K74" i="8"/>
  <c r="K50" i="8"/>
  <c r="K41" i="8"/>
  <c r="K156" i="8"/>
  <c r="K165" i="8"/>
  <c r="K170" i="8"/>
  <c r="K203" i="8"/>
  <c r="K211" i="8"/>
  <c r="K216" i="8"/>
  <c r="K218" i="8"/>
  <c r="K227" i="8"/>
  <c r="O227" i="8"/>
  <c r="J227" i="8"/>
  <c r="K230" i="8"/>
  <c r="K223" i="8"/>
  <c r="K222" i="8"/>
  <c r="O222" i="8"/>
  <c r="J222" i="8"/>
  <c r="K238" i="8"/>
  <c r="K235" i="8"/>
  <c r="K234" i="8"/>
  <c r="K242" i="8"/>
  <c r="K240" i="8"/>
  <c r="K258" i="8"/>
  <c r="K263" i="8"/>
  <c r="O263" i="8"/>
  <c r="J263" i="8"/>
  <c r="K261" i="8"/>
  <c r="K268" i="8"/>
  <c r="E313" i="8"/>
  <c r="N310" i="8"/>
  <c r="M310" i="8"/>
  <c r="L310" i="8"/>
  <c r="K310" i="8"/>
  <c r="O309" i="8"/>
  <c r="L309" i="8"/>
  <c r="N309" i="8"/>
  <c r="M309" i="8"/>
  <c r="K309" i="8"/>
  <c r="N308" i="8"/>
  <c r="M308" i="8"/>
  <c r="L308" i="8"/>
  <c r="K308" i="8"/>
  <c r="N307" i="8"/>
  <c r="M307" i="8"/>
  <c r="L307" i="8"/>
  <c r="K307" i="8"/>
  <c r="K306" i="8"/>
  <c r="O306" i="8"/>
  <c r="J306" i="8"/>
  <c r="P306" i="8"/>
  <c r="J304" i="8"/>
  <c r="E304" i="8"/>
  <c r="J303" i="8"/>
  <c r="E303" i="8"/>
  <c r="O302" i="8"/>
  <c r="J302" i="8"/>
  <c r="E302" i="8"/>
  <c r="O301" i="8"/>
  <c r="J301" i="8"/>
  <c r="P301" i="8"/>
  <c r="O300" i="8"/>
  <c r="J300" i="8"/>
  <c r="P300" i="8"/>
  <c r="O299" i="8"/>
  <c r="J299" i="8"/>
  <c r="P299" i="8"/>
  <c r="O298" i="8"/>
  <c r="J298" i="8"/>
  <c r="E298" i="8"/>
  <c r="E297" i="8"/>
  <c r="P297" i="8"/>
  <c r="O296" i="8"/>
  <c r="J296" i="8"/>
  <c r="E296" i="8"/>
  <c r="O295" i="8"/>
  <c r="J295" i="8"/>
  <c r="E295" i="8"/>
  <c r="O294" i="8"/>
  <c r="O274" i="8"/>
  <c r="O275" i="8"/>
  <c r="J275" i="8"/>
  <c r="O276" i="8"/>
  <c r="O287" i="8"/>
  <c r="J287" i="8"/>
  <c r="O292" i="8"/>
  <c r="J292" i="8"/>
  <c r="O283" i="8"/>
  <c r="O290" i="8"/>
  <c r="O289" i="8"/>
  <c r="O285" i="8"/>
  <c r="J285" i="8"/>
  <c r="O277" i="8"/>
  <c r="J277" i="8"/>
  <c r="N294" i="8"/>
  <c r="M294" i="8"/>
  <c r="L294" i="8"/>
  <c r="J294" i="8"/>
  <c r="I294" i="8"/>
  <c r="E294" i="8"/>
  <c r="E292" i="8"/>
  <c r="O291" i="8"/>
  <c r="J291" i="8"/>
  <c r="E291" i="8"/>
  <c r="N290" i="8"/>
  <c r="M290" i="8"/>
  <c r="L290" i="8"/>
  <c r="I290" i="8"/>
  <c r="E290" i="8"/>
  <c r="J289" i="8"/>
  <c r="E289" i="8"/>
  <c r="E288" i="8"/>
  <c r="P288" i="8"/>
  <c r="E287" i="8"/>
  <c r="E286" i="8"/>
  <c r="E285" i="8"/>
  <c r="O284" i="8"/>
  <c r="J284" i="8"/>
  <c r="E284" i="8"/>
  <c r="J283" i="8"/>
  <c r="E283" i="8"/>
  <c r="E282" i="8"/>
  <c r="O281" i="8"/>
  <c r="J281" i="8"/>
  <c r="E281" i="8"/>
  <c r="O280" i="8"/>
  <c r="J280" i="8"/>
  <c r="E280" i="8"/>
  <c r="O279" i="8"/>
  <c r="E279" i="8"/>
  <c r="O278" i="8"/>
  <c r="J278" i="8"/>
  <c r="P278" i="8"/>
  <c r="E277" i="8"/>
  <c r="P277" i="8"/>
  <c r="N276" i="8"/>
  <c r="M276" i="8"/>
  <c r="M273" i="8"/>
  <c r="M271" i="8"/>
  <c r="L276" i="8"/>
  <c r="I276" i="8"/>
  <c r="E276" i="8"/>
  <c r="E275" i="8"/>
  <c r="E274" i="8"/>
  <c r="H273" i="8"/>
  <c r="H271" i="8"/>
  <c r="K272" i="8"/>
  <c r="O272" i="8"/>
  <c r="F272" i="8"/>
  <c r="E272" i="8"/>
  <c r="O270" i="8"/>
  <c r="J270" i="8"/>
  <c r="E270" i="8"/>
  <c r="O269" i="8"/>
  <c r="J269" i="8"/>
  <c r="E269" i="8"/>
  <c r="N268" i="8"/>
  <c r="M268" i="8"/>
  <c r="L268" i="8"/>
  <c r="I268" i="8"/>
  <c r="O267" i="8"/>
  <c r="J267" i="8"/>
  <c r="E267" i="8"/>
  <c r="E266" i="8"/>
  <c r="O266" i="8"/>
  <c r="J266" i="8"/>
  <c r="I266" i="8"/>
  <c r="O264" i="8"/>
  <c r="J264" i="8"/>
  <c r="E264" i="8"/>
  <c r="N263" i="8"/>
  <c r="M263" i="8"/>
  <c r="M258" i="8"/>
  <c r="M261" i="8"/>
  <c r="L263" i="8"/>
  <c r="I263" i="8"/>
  <c r="E263" i="8"/>
  <c r="O262" i="8"/>
  <c r="J262" i="8"/>
  <c r="E262" i="8"/>
  <c r="N261" i="8"/>
  <c r="L261" i="8"/>
  <c r="O261" i="8"/>
  <c r="I261" i="8"/>
  <c r="E261" i="8"/>
  <c r="O260" i="8"/>
  <c r="J260" i="8"/>
  <c r="E260" i="8"/>
  <c r="O259" i="8"/>
  <c r="J259" i="8"/>
  <c r="E259" i="8"/>
  <c r="N258" i="8"/>
  <c r="L258" i="8"/>
  <c r="I258" i="8"/>
  <c r="E258" i="8"/>
  <c r="O257" i="8"/>
  <c r="J257" i="8"/>
  <c r="E257" i="8"/>
  <c r="O256" i="8"/>
  <c r="J256" i="8"/>
  <c r="E256" i="8"/>
  <c r="O255" i="8"/>
  <c r="J255" i="8"/>
  <c r="E255" i="8"/>
  <c r="I254" i="8"/>
  <c r="H254" i="8"/>
  <c r="H253" i="8"/>
  <c r="G254" i="8"/>
  <c r="G253" i="8"/>
  <c r="F254" i="8"/>
  <c r="F253" i="8"/>
  <c r="I253" i="8"/>
  <c r="O252" i="8"/>
  <c r="J252" i="8"/>
  <c r="E252" i="8"/>
  <c r="O251" i="8"/>
  <c r="J251" i="8"/>
  <c r="E251" i="8"/>
  <c r="O250" i="8"/>
  <c r="J250" i="8"/>
  <c r="I250" i="8"/>
  <c r="E250" i="8"/>
  <c r="O249" i="8"/>
  <c r="J249" i="8"/>
  <c r="E249" i="8"/>
  <c r="O248" i="8"/>
  <c r="J248" i="8"/>
  <c r="E248" i="8"/>
  <c r="O246" i="8"/>
  <c r="J246" i="8"/>
  <c r="E246" i="8"/>
  <c r="O245" i="8"/>
  <c r="O244" i="8"/>
  <c r="J244" i="8"/>
  <c r="E244" i="8"/>
  <c r="E243" i="8"/>
  <c r="O243" i="8"/>
  <c r="J243" i="8"/>
  <c r="N242" i="8"/>
  <c r="M242" i="8"/>
  <c r="L242" i="8"/>
  <c r="F242" i="8"/>
  <c r="N241" i="8"/>
  <c r="M241" i="8"/>
  <c r="L241" i="8"/>
  <c r="K241" i="8"/>
  <c r="N240" i="8"/>
  <c r="M240" i="8"/>
  <c r="L240" i="8"/>
  <c r="F240" i="8"/>
  <c r="E239" i="8"/>
  <c r="P239" i="8"/>
  <c r="O238" i="8"/>
  <c r="N238" i="8"/>
  <c r="N235" i="8"/>
  <c r="N234" i="8"/>
  <c r="M238" i="8"/>
  <c r="M235" i="8"/>
  <c r="M234" i="8"/>
  <c r="L238" i="8"/>
  <c r="L235" i="8"/>
  <c r="L234" i="8"/>
  <c r="J238" i="8"/>
  <c r="I238" i="8"/>
  <c r="O237" i="8"/>
  <c r="J237" i="8"/>
  <c r="E237" i="8"/>
  <c r="O236" i="8"/>
  <c r="J236" i="8"/>
  <c r="E236" i="8"/>
  <c r="I235" i="8"/>
  <c r="I234" i="8"/>
  <c r="H235" i="8"/>
  <c r="H234" i="8"/>
  <c r="F235" i="8"/>
  <c r="F234" i="8"/>
  <c r="J233" i="8"/>
  <c r="E233" i="8"/>
  <c r="E230" i="8"/>
  <c r="O230" i="8"/>
  <c r="N230" i="8"/>
  <c r="M230" i="8"/>
  <c r="L230" i="8"/>
  <c r="I230" i="8"/>
  <c r="H230" i="8"/>
  <c r="G230" i="8"/>
  <c r="E229" i="8"/>
  <c r="P229" i="8"/>
  <c r="O228" i="8"/>
  <c r="J228" i="8"/>
  <c r="E228" i="8"/>
  <c r="F227" i="8"/>
  <c r="E227" i="8"/>
  <c r="F226" i="8"/>
  <c r="E226" i="8"/>
  <c r="P226" i="8"/>
  <c r="E225" i="8"/>
  <c r="P225" i="8"/>
  <c r="O224" i="8"/>
  <c r="J224" i="8"/>
  <c r="E224" i="8"/>
  <c r="E223" i="8"/>
  <c r="E222" i="8"/>
  <c r="J221" i="8"/>
  <c r="E221" i="8"/>
  <c r="J220" i="8"/>
  <c r="E220" i="8"/>
  <c r="O219" i="8"/>
  <c r="J219" i="8"/>
  <c r="E219" i="8"/>
  <c r="N218" i="8"/>
  <c r="M218" i="8"/>
  <c r="L218" i="8"/>
  <c r="I218" i="8"/>
  <c r="H218" i="8"/>
  <c r="E218" i="8"/>
  <c r="J217" i="8"/>
  <c r="E217" i="8"/>
  <c r="O216" i="8"/>
  <c r="N216" i="8"/>
  <c r="M216" i="8"/>
  <c r="L216" i="8"/>
  <c r="J216" i="8"/>
  <c r="I216" i="8"/>
  <c r="I147" i="8"/>
  <c r="I144" i="8"/>
  <c r="H216" i="8"/>
  <c r="H147" i="8"/>
  <c r="H144" i="8"/>
  <c r="P215" i="8"/>
  <c r="J214" i="8"/>
  <c r="E214" i="8"/>
  <c r="J213" i="8"/>
  <c r="E213" i="8"/>
  <c r="J212" i="8"/>
  <c r="E212" i="8"/>
  <c r="O211" i="8"/>
  <c r="N211" i="8"/>
  <c r="M211" i="8"/>
  <c r="L211" i="8"/>
  <c r="I211" i="8"/>
  <c r="H211" i="8"/>
  <c r="G211" i="8"/>
  <c r="F211" i="8"/>
  <c r="J210" i="8"/>
  <c r="E210" i="8"/>
  <c r="O209" i="8"/>
  <c r="O208" i="8"/>
  <c r="E209" i="8"/>
  <c r="E208" i="8"/>
  <c r="O207" i="8"/>
  <c r="J207" i="8"/>
  <c r="E207" i="8"/>
  <c r="O206" i="8"/>
  <c r="E206" i="8"/>
  <c r="F205" i="8"/>
  <c r="E205" i="8"/>
  <c r="P205" i="8"/>
  <c r="E204" i="8"/>
  <c r="P204" i="8"/>
  <c r="N203" i="8"/>
  <c r="M203" i="8"/>
  <c r="L203" i="8"/>
  <c r="I203" i="8"/>
  <c r="H203" i="8"/>
  <c r="G203" i="8"/>
  <c r="F203" i="8"/>
  <c r="E203" i="8"/>
  <c r="E202" i="8"/>
  <c r="P202" i="8"/>
  <c r="F201" i="8"/>
  <c r="E201" i="8"/>
  <c r="P201" i="8"/>
  <c r="E200" i="8"/>
  <c r="P200" i="8"/>
  <c r="F199" i="8"/>
  <c r="E199" i="8"/>
  <c r="P199" i="8"/>
  <c r="F198" i="8"/>
  <c r="E198" i="8"/>
  <c r="P198" i="8"/>
  <c r="E197" i="8"/>
  <c r="P197" i="8"/>
  <c r="F196" i="8"/>
  <c r="E196" i="8"/>
  <c r="P196" i="8"/>
  <c r="E195" i="8"/>
  <c r="P195" i="8"/>
  <c r="E194" i="8"/>
  <c r="P194" i="8"/>
  <c r="F193" i="8"/>
  <c r="F192" i="8"/>
  <c r="E192" i="8"/>
  <c r="P192" i="8"/>
  <c r="E191" i="8"/>
  <c r="P191" i="8"/>
  <c r="J190" i="8"/>
  <c r="E190" i="8"/>
  <c r="J189" i="8"/>
  <c r="J188" i="8"/>
  <c r="E188" i="8"/>
  <c r="J187" i="8"/>
  <c r="F187" i="8"/>
  <c r="J186" i="8"/>
  <c r="F186" i="8"/>
  <c r="E186" i="8"/>
  <c r="J185" i="8"/>
  <c r="E185" i="8"/>
  <c r="J184" i="8"/>
  <c r="F184" i="8"/>
  <c r="E184" i="8"/>
  <c r="P184" i="8"/>
  <c r="J183" i="8"/>
  <c r="E183" i="8"/>
  <c r="P183" i="8"/>
  <c r="J182" i="8"/>
  <c r="F182" i="8"/>
  <c r="E182" i="8"/>
  <c r="P182" i="8"/>
  <c r="J181" i="8"/>
  <c r="E181" i="8"/>
  <c r="P181" i="8"/>
  <c r="J180" i="8"/>
  <c r="F180" i="8"/>
  <c r="E180" i="8"/>
  <c r="P180" i="8"/>
  <c r="J179" i="8"/>
  <c r="E179" i="8"/>
  <c r="J178" i="8"/>
  <c r="F178" i="8"/>
  <c r="E178" i="8"/>
  <c r="J177" i="8"/>
  <c r="E177" i="8"/>
  <c r="J176" i="8"/>
  <c r="F176" i="8"/>
  <c r="E176" i="8"/>
  <c r="P176" i="8"/>
  <c r="J175" i="8"/>
  <c r="E175" i="8"/>
  <c r="J174" i="8"/>
  <c r="F174" i="8"/>
  <c r="E174" i="8"/>
  <c r="J173" i="8"/>
  <c r="E173" i="8"/>
  <c r="J172" i="8"/>
  <c r="F172" i="8"/>
  <c r="E172" i="8"/>
  <c r="P172" i="8"/>
  <c r="J171" i="8"/>
  <c r="E171" i="8"/>
  <c r="O170" i="8"/>
  <c r="L170" i="8"/>
  <c r="N170" i="8"/>
  <c r="M170" i="8"/>
  <c r="I170" i="8"/>
  <c r="H170" i="8"/>
  <c r="G170" i="8"/>
  <c r="J169" i="8"/>
  <c r="E169" i="8"/>
  <c r="J168" i="8"/>
  <c r="E168" i="8"/>
  <c r="J167" i="8"/>
  <c r="E167" i="8"/>
  <c r="J166" i="8"/>
  <c r="J165" i="8"/>
  <c r="E166" i="8"/>
  <c r="O165" i="8"/>
  <c r="N165" i="8"/>
  <c r="M165" i="8"/>
  <c r="L165" i="8"/>
  <c r="L156" i="8"/>
  <c r="I165" i="8"/>
  <c r="H165" i="8"/>
  <c r="G165" i="8"/>
  <c r="F165" i="8"/>
  <c r="O164" i="8"/>
  <c r="L164" i="8"/>
  <c r="J164" i="8"/>
  <c r="N164" i="8"/>
  <c r="M164" i="8"/>
  <c r="K164" i="8"/>
  <c r="I164" i="8"/>
  <c r="H164" i="8"/>
  <c r="G164" i="8"/>
  <c r="F164" i="8"/>
  <c r="J163" i="8"/>
  <c r="E163" i="8"/>
  <c r="J162" i="8"/>
  <c r="F162" i="8"/>
  <c r="E162" i="8"/>
  <c r="J161" i="8"/>
  <c r="E161" i="8"/>
  <c r="J160" i="8"/>
  <c r="F160" i="8"/>
  <c r="E160" i="8"/>
  <c r="P160" i="8"/>
  <c r="J159" i="8"/>
  <c r="E159" i="8"/>
  <c r="P159" i="8"/>
  <c r="J158" i="8"/>
  <c r="F158" i="8"/>
  <c r="E158" i="8"/>
  <c r="J157" i="8"/>
  <c r="E157" i="8"/>
  <c r="O156" i="8"/>
  <c r="N156" i="8"/>
  <c r="M156" i="8"/>
  <c r="I156" i="8"/>
  <c r="H156" i="8"/>
  <c r="G156" i="8"/>
  <c r="F156" i="8"/>
  <c r="J155" i="8"/>
  <c r="E155" i="8"/>
  <c r="J154" i="8"/>
  <c r="E154" i="8"/>
  <c r="J153" i="8"/>
  <c r="F153" i="8"/>
  <c r="E153" i="8"/>
  <c r="J152" i="8"/>
  <c r="E152" i="8"/>
  <c r="J151" i="8"/>
  <c r="F151" i="8"/>
  <c r="E151" i="8"/>
  <c r="P151" i="8"/>
  <c r="J150" i="8"/>
  <c r="E150" i="8"/>
  <c r="O149" i="8"/>
  <c r="N149" i="8"/>
  <c r="I149" i="8"/>
  <c r="H149" i="8"/>
  <c r="G149" i="8"/>
  <c r="F149" i="8"/>
  <c r="E149" i="8"/>
  <c r="O148" i="8"/>
  <c r="E148" i="8"/>
  <c r="G147" i="8"/>
  <c r="G144" i="8"/>
  <c r="F146" i="8"/>
  <c r="O143" i="8"/>
  <c r="J143" i="8"/>
  <c r="E143" i="8"/>
  <c r="P143" i="8"/>
  <c r="O142" i="8"/>
  <c r="J142" i="8"/>
  <c r="E142" i="8"/>
  <c r="J141" i="8"/>
  <c r="E141" i="8"/>
  <c r="O138" i="8"/>
  <c r="E87" i="8"/>
  <c r="O137" i="8"/>
  <c r="N136" i="8"/>
  <c r="M136" i="8"/>
  <c r="I136" i="8"/>
  <c r="I121" i="8"/>
  <c r="O134" i="8"/>
  <c r="J134" i="8"/>
  <c r="E134" i="8"/>
  <c r="E88" i="8"/>
  <c r="O133" i="8"/>
  <c r="J133" i="8"/>
  <c r="E133" i="8"/>
  <c r="O132" i="8"/>
  <c r="J132" i="8"/>
  <c r="O131" i="8"/>
  <c r="J131" i="8"/>
  <c r="P131" i="8"/>
  <c r="E131" i="8"/>
  <c r="O130" i="8"/>
  <c r="J130" i="8"/>
  <c r="I130" i="8"/>
  <c r="E130" i="8"/>
  <c r="P129" i="8"/>
  <c r="E128" i="8"/>
  <c r="P128" i="8"/>
  <c r="O127" i="8"/>
  <c r="J127" i="8"/>
  <c r="E127" i="8"/>
  <c r="E126" i="8"/>
  <c r="P126" i="8"/>
  <c r="O123" i="8"/>
  <c r="J123" i="8"/>
  <c r="E123" i="8"/>
  <c r="O122" i="8"/>
  <c r="J122" i="8"/>
  <c r="E122" i="8"/>
  <c r="O121" i="8"/>
  <c r="N121" i="8"/>
  <c r="J121" i="8"/>
  <c r="E121" i="8"/>
  <c r="O120" i="8"/>
  <c r="J120" i="8"/>
  <c r="E120" i="8"/>
  <c r="O119" i="8"/>
  <c r="J119" i="8"/>
  <c r="E119" i="8"/>
  <c r="O118" i="8"/>
  <c r="J118" i="8"/>
  <c r="E118" i="8"/>
  <c r="O117" i="8"/>
  <c r="J117" i="8"/>
  <c r="E117" i="8"/>
  <c r="O116" i="8"/>
  <c r="J116" i="8"/>
  <c r="E116" i="8"/>
  <c r="O115" i="8"/>
  <c r="J115" i="8"/>
  <c r="E115" i="8"/>
  <c r="O114" i="8"/>
  <c r="J114" i="8"/>
  <c r="E114" i="8"/>
  <c r="O113" i="8"/>
  <c r="J113" i="8"/>
  <c r="N113" i="8"/>
  <c r="I113" i="8"/>
  <c r="E112" i="8"/>
  <c r="P112" i="8"/>
  <c r="O111" i="8"/>
  <c r="J111" i="8"/>
  <c r="E111" i="8"/>
  <c r="O110" i="8"/>
  <c r="J110" i="8"/>
  <c r="E110" i="8"/>
  <c r="P110" i="8"/>
  <c r="J109" i="8"/>
  <c r="E109" i="8"/>
  <c r="E108" i="8"/>
  <c r="P108" i="8"/>
  <c r="O107" i="8"/>
  <c r="J107" i="8"/>
  <c r="P107" i="8"/>
  <c r="O106" i="8"/>
  <c r="J106" i="8"/>
  <c r="E106" i="8"/>
  <c r="O105" i="8"/>
  <c r="J105" i="8"/>
  <c r="E105" i="8"/>
  <c r="O104" i="8"/>
  <c r="J104" i="8"/>
  <c r="E104" i="8"/>
  <c r="O102" i="8"/>
  <c r="J102" i="8"/>
  <c r="E102" i="8"/>
  <c r="E101" i="8"/>
  <c r="O100" i="8"/>
  <c r="J100" i="8"/>
  <c r="P100" i="8"/>
  <c r="E100" i="8"/>
  <c r="O99" i="8"/>
  <c r="J99" i="8"/>
  <c r="P99" i="8"/>
  <c r="O98" i="8"/>
  <c r="J98" i="8"/>
  <c r="E98" i="8"/>
  <c r="O96" i="8"/>
  <c r="J96" i="8"/>
  <c r="E96" i="8"/>
  <c r="E95" i="8"/>
  <c r="O94" i="8"/>
  <c r="J94" i="8"/>
  <c r="E94" i="8"/>
  <c r="M93" i="8"/>
  <c r="M84" i="8"/>
  <c r="L93" i="8"/>
  <c r="L84" i="8"/>
  <c r="H93" i="8"/>
  <c r="H84" i="8"/>
  <c r="K92" i="8"/>
  <c r="O92" i="8"/>
  <c r="J92" i="8"/>
  <c r="P92" i="8"/>
  <c r="J91" i="8"/>
  <c r="F91" i="8"/>
  <c r="E91" i="8"/>
  <c r="E89" i="8"/>
  <c r="P89" i="8"/>
  <c r="K88" i="8"/>
  <c r="O88" i="8"/>
  <c r="I88" i="8"/>
  <c r="H88" i="8"/>
  <c r="G88" i="8"/>
  <c r="F88" i="8"/>
  <c r="O86" i="8"/>
  <c r="J86" i="8"/>
  <c r="E86" i="8"/>
  <c r="N85" i="8"/>
  <c r="M85" i="8"/>
  <c r="L85" i="8"/>
  <c r="K85" i="8"/>
  <c r="I85" i="8"/>
  <c r="H85" i="8"/>
  <c r="G85" i="8"/>
  <c r="F85" i="8"/>
  <c r="O83" i="8"/>
  <c r="J83" i="8"/>
  <c r="P83" i="8"/>
  <c r="O82" i="8"/>
  <c r="J82" i="8"/>
  <c r="E82" i="8"/>
  <c r="O81" i="8"/>
  <c r="J81" i="8"/>
  <c r="E81" i="8"/>
  <c r="O80" i="8"/>
  <c r="J80" i="8"/>
  <c r="E80" i="8"/>
  <c r="O79" i="8"/>
  <c r="J79" i="8"/>
  <c r="E79" i="8"/>
  <c r="O78" i="8"/>
  <c r="J78" i="8"/>
  <c r="E78" i="8"/>
  <c r="O77" i="8"/>
  <c r="J77" i="8"/>
  <c r="P77" i="8"/>
  <c r="O75" i="8"/>
  <c r="J75" i="8"/>
  <c r="E75" i="8"/>
  <c r="N74" i="8"/>
  <c r="M74" i="8"/>
  <c r="M50" i="8"/>
  <c r="M41" i="8"/>
  <c r="L74" i="8"/>
  <c r="E74" i="8"/>
  <c r="O73" i="8"/>
  <c r="J73" i="8"/>
  <c r="E73" i="8"/>
  <c r="O72" i="8"/>
  <c r="J72" i="8"/>
  <c r="E72" i="8"/>
  <c r="O71" i="8"/>
  <c r="J71" i="8"/>
  <c r="E71" i="8"/>
  <c r="O70" i="8"/>
  <c r="J70" i="8"/>
  <c r="O69" i="8"/>
  <c r="J69" i="8"/>
  <c r="E69" i="8"/>
  <c r="O68" i="8"/>
  <c r="J68" i="8"/>
  <c r="E68" i="8"/>
  <c r="O67" i="8"/>
  <c r="J67" i="8"/>
  <c r="P67" i="8"/>
  <c r="O66" i="8"/>
  <c r="J66" i="8"/>
  <c r="E66" i="8"/>
  <c r="O65" i="8"/>
  <c r="J65" i="8"/>
  <c r="E65" i="8"/>
  <c r="O64" i="8"/>
  <c r="J64" i="8"/>
  <c r="E64" i="8"/>
  <c r="O63" i="8"/>
  <c r="J63" i="8"/>
  <c r="E63" i="8"/>
  <c r="O62" i="8"/>
  <c r="J62" i="8"/>
  <c r="E62" i="8"/>
  <c r="O61" i="8"/>
  <c r="J61" i="8"/>
  <c r="E61" i="8"/>
  <c r="O60" i="8"/>
  <c r="J60" i="8"/>
  <c r="E60" i="8"/>
  <c r="O59" i="8"/>
  <c r="J59" i="8"/>
  <c r="E59" i="8"/>
  <c r="O58" i="8"/>
  <c r="J58" i="8"/>
  <c r="E58" i="8"/>
  <c r="O57" i="8"/>
  <c r="J57" i="8"/>
  <c r="E57" i="8"/>
  <c r="E56" i="8"/>
  <c r="O54" i="8"/>
  <c r="J54" i="8"/>
  <c r="P54" i="8"/>
  <c r="E54" i="8"/>
  <c r="O53" i="8"/>
  <c r="J53" i="8"/>
  <c r="E53" i="8"/>
  <c r="E48" i="8"/>
  <c r="O52" i="8"/>
  <c r="J52" i="8"/>
  <c r="O51" i="8"/>
  <c r="J51" i="8"/>
  <c r="E51" i="8"/>
  <c r="N50" i="8"/>
  <c r="N41" i="8"/>
  <c r="L50" i="8"/>
  <c r="L41" i="8"/>
  <c r="I50" i="8"/>
  <c r="H50" i="8"/>
  <c r="H41" i="8"/>
  <c r="N49" i="8"/>
  <c r="M49" i="8"/>
  <c r="L49" i="8"/>
  <c r="K49" i="8"/>
  <c r="O49" i="8"/>
  <c r="I49" i="8"/>
  <c r="H49" i="8"/>
  <c r="G49" i="8"/>
  <c r="N48" i="8"/>
  <c r="M48" i="8"/>
  <c r="L48" i="8"/>
  <c r="K48" i="8"/>
  <c r="I48" i="8"/>
  <c r="H48" i="8"/>
  <c r="G48" i="8"/>
  <c r="F48" i="8"/>
  <c r="K47" i="8"/>
  <c r="I47" i="8"/>
  <c r="H47" i="8"/>
  <c r="G47" i="8"/>
  <c r="F46" i="8"/>
  <c r="E46" i="8"/>
  <c r="P46" i="8"/>
  <c r="F45" i="8"/>
  <c r="E45" i="8"/>
  <c r="P45" i="8"/>
  <c r="N43" i="8"/>
  <c r="M43" i="8"/>
  <c r="L43" i="8"/>
  <c r="F43" i="8"/>
  <c r="E43" i="8"/>
  <c r="G43" i="8"/>
  <c r="N42" i="8"/>
  <c r="M42" i="8"/>
  <c r="L42" i="8"/>
  <c r="J42" i="8"/>
  <c r="H42" i="8"/>
  <c r="F42" i="8"/>
  <c r="E42" i="8"/>
  <c r="O40" i="8"/>
  <c r="J40" i="8"/>
  <c r="P40" i="8"/>
  <c r="E40" i="8"/>
  <c r="E39" i="8"/>
  <c r="N38" i="8"/>
  <c r="M38" i="8"/>
  <c r="J38" i="8"/>
  <c r="I38" i="8"/>
  <c r="H38" i="8"/>
  <c r="F38" i="8"/>
  <c r="E38" i="8"/>
  <c r="J37" i="8"/>
  <c r="P37" i="8"/>
  <c r="O36" i="8"/>
  <c r="N36" i="8"/>
  <c r="M36" i="8"/>
  <c r="L36" i="8"/>
  <c r="O35" i="8"/>
  <c r="J35" i="8"/>
  <c r="E35" i="8"/>
  <c r="O34" i="8"/>
  <c r="J34" i="8"/>
  <c r="E34" i="8"/>
  <c r="O33" i="8"/>
  <c r="J33" i="8"/>
  <c r="E33" i="8"/>
  <c r="O32" i="8"/>
  <c r="J32" i="8"/>
  <c r="E32" i="8"/>
  <c r="J31" i="8"/>
  <c r="E31" i="8"/>
  <c r="N30" i="8"/>
  <c r="M30" i="8"/>
  <c r="L30" i="8"/>
  <c r="I30" i="8"/>
  <c r="H30" i="8"/>
  <c r="F30" i="8"/>
  <c r="E30" i="8"/>
  <c r="O29" i="8"/>
  <c r="J29" i="8"/>
  <c r="E29" i="8"/>
  <c r="O28" i="8"/>
  <c r="J28" i="8"/>
  <c r="E28" i="8"/>
  <c r="O27" i="8"/>
  <c r="J27" i="8"/>
  <c r="E27" i="8"/>
  <c r="P26" i="8"/>
  <c r="P15" i="8"/>
  <c r="O25" i="8"/>
  <c r="J25" i="8"/>
  <c r="E25" i="8"/>
  <c r="O23" i="8"/>
  <c r="J23" i="8"/>
  <c r="P23" i="8"/>
  <c r="N22" i="8"/>
  <c r="N20" i="8"/>
  <c r="M22" i="8"/>
  <c r="L22" i="8"/>
  <c r="L20" i="8"/>
  <c r="I22" i="8"/>
  <c r="E22" i="8"/>
  <c r="H22" i="8"/>
  <c r="O21" i="8"/>
  <c r="J21" i="8"/>
  <c r="P21" i="8"/>
  <c r="M20" i="8"/>
  <c r="I20" i="8"/>
  <c r="I16" i="8"/>
  <c r="I14" i="8"/>
  <c r="H20" i="8"/>
  <c r="F20" i="8"/>
  <c r="E20" i="8"/>
  <c r="J19" i="8"/>
  <c r="E19" i="8"/>
  <c r="P19" i="8"/>
  <c r="J18" i="8"/>
  <c r="H18" i="8"/>
  <c r="F18" i="8"/>
  <c r="E18" i="8"/>
  <c r="P18" i="8"/>
  <c r="O17" i="8"/>
  <c r="J17" i="8"/>
  <c r="E17" i="8"/>
  <c r="F15" i="8"/>
  <c r="E15" i="8"/>
  <c r="E365" i="8"/>
  <c r="E363" i="8"/>
  <c r="J88" i="8"/>
  <c r="P369" i="8"/>
  <c r="O371" i="8"/>
  <c r="O365" i="8"/>
  <c r="O363" i="8"/>
  <c r="J368" i="8"/>
  <c r="P368" i="8"/>
  <c r="J138" i="8"/>
  <c r="J218" i="8"/>
  <c r="I242" i="8"/>
  <c r="I240" i="8"/>
  <c r="J345" i="8"/>
  <c r="J308" i="8"/>
  <c r="P308" i="8"/>
  <c r="O308" i="8"/>
  <c r="J381" i="8"/>
  <c r="P381" i="8"/>
  <c r="E379" i="8"/>
  <c r="E378" i="8"/>
  <c r="E377" i="8"/>
  <c r="F378" i="8"/>
  <c r="F377" i="8"/>
  <c r="P376" i="8"/>
  <c r="F50" i="8"/>
  <c r="F41" i="8"/>
  <c r="E146" i="8"/>
  <c r="P146" i="8"/>
  <c r="P294" i="8"/>
  <c r="N93" i="8"/>
  <c r="N84" i="8"/>
  <c r="J209" i="8"/>
  <c r="P212" i="8"/>
  <c r="J309" i="8"/>
  <c r="P309" i="8"/>
  <c r="P340" i="8"/>
  <c r="P360" i="8"/>
  <c r="P349" i="8"/>
  <c r="G314" i="8"/>
  <c r="G305" i="8"/>
  <c r="E325" i="8"/>
  <c r="J274" i="8"/>
  <c r="P333" i="8"/>
  <c r="P334" i="8"/>
  <c r="L305" i="8"/>
  <c r="I314" i="8"/>
  <c r="I305" i="8"/>
  <c r="O339" i="8"/>
  <c r="J339" i="8"/>
  <c r="P339" i="8"/>
  <c r="O341" i="8"/>
  <c r="J341" i="8"/>
  <c r="P292" i="8"/>
  <c r="J282" i="8"/>
  <c r="P324" i="8"/>
  <c r="J310" i="8"/>
  <c r="P310" i="8"/>
  <c r="P260" i="8"/>
  <c r="P275" i="8"/>
  <c r="P283" i="8"/>
  <c r="P289" i="8"/>
  <c r="J279" i="8"/>
  <c r="P55" i="8"/>
  <c r="P106" i="8"/>
  <c r="O85" i="8"/>
  <c r="I273" i="8"/>
  <c r="I271" i="8"/>
  <c r="P383" i="8"/>
  <c r="P68" i="8"/>
  <c r="J206" i="8"/>
  <c r="O136" i="8"/>
  <c r="O93" i="8"/>
  <c r="O84" i="8"/>
  <c r="J137" i="8"/>
  <c r="J136" i="8"/>
  <c r="P136" i="8"/>
  <c r="E187" i="8"/>
  <c r="F170" i="8"/>
  <c r="E170" i="8"/>
  <c r="J371" i="8"/>
  <c r="E193" i="8"/>
  <c r="P193" i="8"/>
  <c r="F189" i="8"/>
  <c r="E189" i="8"/>
  <c r="P189" i="8"/>
  <c r="J359" i="8"/>
  <c r="P359" i="8"/>
  <c r="O313" i="8"/>
  <c r="J313" i="8"/>
  <c r="P313" i="8"/>
  <c r="J315" i="8"/>
  <c r="O317" i="8"/>
  <c r="J317" i="8"/>
  <c r="P367" i="8"/>
  <c r="N365" i="8"/>
  <c r="N363" i="8"/>
  <c r="P137" i="8"/>
  <c r="P325" i="8"/>
  <c r="J49" i="8"/>
  <c r="P49" i="8"/>
  <c r="J378" i="8"/>
  <c r="J377" i="8"/>
  <c r="P377" i="8"/>
  <c r="P341" i="8"/>
  <c r="P38" i="8"/>
  <c r="P57" i="8"/>
  <c r="P64" i="8"/>
  <c r="P224" i="8"/>
  <c r="P355" i="8"/>
  <c r="P78" i="8"/>
  <c r="P82" i="8"/>
  <c r="P91" i="8"/>
  <c r="P114" i="8"/>
  <c r="P115" i="8"/>
  <c r="P116" i="8"/>
  <c r="P117" i="8"/>
  <c r="P127" i="8"/>
  <c r="J156" i="8"/>
  <c r="P162" i="8"/>
  <c r="E164" i="8"/>
  <c r="P164" i="8"/>
  <c r="P166" i="8"/>
  <c r="P168" i="8"/>
  <c r="J211" i="8"/>
  <c r="P259" i="8"/>
  <c r="J261" i="8"/>
  <c r="P261" i="8"/>
  <c r="P266" i="8"/>
  <c r="L273" i="8"/>
  <c r="L271" i="8"/>
  <c r="J325" i="8"/>
  <c r="P33" i="8"/>
  <c r="P51" i="8"/>
  <c r="P79" i="8"/>
  <c r="P80" i="8"/>
  <c r="P81" i="8"/>
  <c r="E85" i="8"/>
  <c r="P86" i="8"/>
  <c r="P94" i="8"/>
  <c r="P98" i="8"/>
  <c r="P111" i="8"/>
  <c r="J148" i="8"/>
  <c r="P167" i="8"/>
  <c r="J170" i="8"/>
  <c r="P170" i="8"/>
  <c r="P228" i="8"/>
  <c r="J230" i="8"/>
  <c r="P230" i="8"/>
  <c r="P236" i="8"/>
  <c r="E238" i="8"/>
  <c r="P238" i="8"/>
  <c r="P248" i="8"/>
  <c r="E273" i="8"/>
  <c r="E271" i="8"/>
  <c r="P295" i="8"/>
  <c r="P296" i="8"/>
  <c r="P303" i="8"/>
  <c r="P304" i="8"/>
  <c r="K147" i="8"/>
  <c r="K144" i="8"/>
  <c r="P62" i="8"/>
  <c r="P63" i="8"/>
  <c r="P65" i="8"/>
  <c r="P72" i="8"/>
  <c r="P104" i="8"/>
  <c r="P88" i="8"/>
  <c r="P87" i="8"/>
  <c r="P142" i="8"/>
  <c r="P178" i="8"/>
  <c r="P179" i="8"/>
  <c r="P210" i="8"/>
  <c r="E211" i="8"/>
  <c r="E216" i="8"/>
  <c r="P216" i="8"/>
  <c r="P219" i="8"/>
  <c r="P326" i="8"/>
  <c r="E235" i="8"/>
  <c r="E234" i="8"/>
  <c r="O74" i="8"/>
  <c r="J74" i="8"/>
  <c r="P74" i="8"/>
  <c r="P95" i="8"/>
  <c r="P132" i="8"/>
  <c r="P249" i="8"/>
  <c r="P53" i="8"/>
  <c r="O30" i="8"/>
  <c r="O39" i="8"/>
  <c r="J39" i="8"/>
  <c r="P39" i="8"/>
  <c r="J245" i="8"/>
  <c r="O241" i="8"/>
  <c r="P379" i="8"/>
  <c r="P378" i="8"/>
  <c r="O20" i="8"/>
  <c r="J20" i="8"/>
  <c r="P20" i="8"/>
  <c r="O47" i="8"/>
  <c r="J47" i="8"/>
  <c r="P47" i="8"/>
  <c r="O218" i="8"/>
  <c r="P17" i="8"/>
  <c r="M16" i="8"/>
  <c r="M14" i="8"/>
  <c r="L16" i="8"/>
  <c r="L14" i="8"/>
  <c r="P27" i="8"/>
  <c r="P28" i="8"/>
  <c r="P29" i="8"/>
  <c r="P34" i="8"/>
  <c r="J36" i="8"/>
  <c r="P36" i="8"/>
  <c r="P134" i="8"/>
  <c r="M147" i="8"/>
  <c r="M144" i="8"/>
  <c r="P338" i="8"/>
  <c r="P269" i="8"/>
  <c r="J290" i="8"/>
  <c r="P290" i="8"/>
  <c r="J276" i="8"/>
  <c r="P276" i="8"/>
  <c r="P320" i="8"/>
  <c r="P118" i="8"/>
  <c r="P120" i="8"/>
  <c r="P121" i="8"/>
  <c r="P123" i="8"/>
  <c r="P130" i="8"/>
  <c r="P133" i="8"/>
  <c r="P141" i="8"/>
  <c r="P153" i="8"/>
  <c r="E156" i="8"/>
  <c r="P158" i="8"/>
  <c r="P163" i="8"/>
  <c r="P169" i="8"/>
  <c r="P173" i="8"/>
  <c r="P175" i="8"/>
  <c r="F147" i="8"/>
  <c r="F144" i="8"/>
  <c r="O203" i="8"/>
  <c r="J203" i="8"/>
  <c r="P203" i="8"/>
  <c r="P218" i="8"/>
  <c r="P222" i="8"/>
  <c r="O223" i="8"/>
  <c r="J223" i="8"/>
  <c r="P223" i="8"/>
  <c r="P227" i="8"/>
  <c r="J235" i="8"/>
  <c r="J234" i="8"/>
  <c r="N254" i="8"/>
  <c r="N253" i="8"/>
  <c r="L254" i="8"/>
  <c r="L253" i="8"/>
  <c r="M254" i="8"/>
  <c r="M253" i="8"/>
  <c r="N273" i="8"/>
  <c r="N271" i="8"/>
  <c r="P281" i="8"/>
  <c r="P285" i="8"/>
  <c r="P302" i="8"/>
  <c r="O307" i="8"/>
  <c r="P327" i="8"/>
  <c r="P322" i="8"/>
  <c r="P319" i="8"/>
  <c r="P332" i="8"/>
  <c r="P336" i="8"/>
  <c r="P348" i="8"/>
  <c r="P350" i="8"/>
  <c r="K365" i="8"/>
  <c r="K363" i="8"/>
  <c r="L365" i="8"/>
  <c r="L363" i="8"/>
  <c r="G50" i="8"/>
  <c r="G41" i="8"/>
  <c r="J311" i="8"/>
  <c r="P311" i="8"/>
  <c r="P69" i="8"/>
  <c r="P315" i="8"/>
  <c r="P102" i="8"/>
  <c r="H16" i="8"/>
  <c r="H14" i="8"/>
  <c r="H384" i="8"/>
  <c r="G16" i="8"/>
  <c r="G14" i="8"/>
  <c r="P56" i="8"/>
  <c r="N16" i="8"/>
  <c r="N14" i="8"/>
  <c r="K16" i="8"/>
  <c r="K14" i="8"/>
  <c r="O22" i="8"/>
  <c r="F16" i="8"/>
  <c r="F14" i="8"/>
  <c r="J242" i="8"/>
  <c r="J240" i="8"/>
  <c r="J22" i="8"/>
  <c r="P22" i="8"/>
  <c r="P73" i="8"/>
  <c r="P187" i="8"/>
  <c r="J85" i="8"/>
  <c r="P85" i="8"/>
  <c r="P279" i="8"/>
  <c r="P267" i="8"/>
  <c r="P138" i="8"/>
  <c r="P25" i="8"/>
  <c r="P119" i="8"/>
  <c r="P150" i="8"/>
  <c r="P171" i="8"/>
  <c r="P174" i="8"/>
  <c r="P177" i="8"/>
  <c r="P188" i="8"/>
  <c r="P257" i="8"/>
  <c r="P263" i="8"/>
  <c r="E268" i="8"/>
  <c r="P280" i="8"/>
  <c r="P287" i="8"/>
  <c r="P298" i="8"/>
  <c r="P105" i="8"/>
  <c r="P122" i="8"/>
  <c r="J149" i="8"/>
  <c r="P149" i="8"/>
  <c r="P152" i="8"/>
  <c r="J93" i="8"/>
  <c r="J84" i="8"/>
  <c r="P209" i="8"/>
  <c r="P316" i="8"/>
  <c r="P330" i="8"/>
  <c r="P346" i="8"/>
  <c r="P347" i="8"/>
  <c r="P337" i="8"/>
  <c r="P31" i="8"/>
  <c r="P35" i="8"/>
  <c r="P59" i="8"/>
  <c r="P61" i="8"/>
  <c r="P66" i="8"/>
  <c r="J48" i="8"/>
  <c r="P48" i="8"/>
  <c r="P71" i="8"/>
  <c r="P75" i="8"/>
  <c r="P96" i="8"/>
  <c r="P109" i="8"/>
  <c r="P155" i="8"/>
  <c r="P156" i="8"/>
  <c r="P157" i="8"/>
  <c r="P161" i="8"/>
  <c r="P185" i="8"/>
  <c r="P186" i="8"/>
  <c r="P190" i="8"/>
  <c r="P213" i="8"/>
  <c r="P214" i="8"/>
  <c r="P217" i="8"/>
  <c r="P220" i="8"/>
  <c r="P221" i="8"/>
  <c r="P243" i="8"/>
  <c r="P244" i="8"/>
  <c r="P250" i="8"/>
  <c r="P251" i="8"/>
  <c r="P252" i="8"/>
  <c r="P262" i="8"/>
  <c r="P264" i="8"/>
  <c r="J268" i="8"/>
  <c r="P284" i="8"/>
  <c r="P52" i="8"/>
  <c r="P70" i="8"/>
  <c r="P274" i="8"/>
  <c r="P255" i="8"/>
  <c r="E50" i="8"/>
  <c r="E41" i="8"/>
  <c r="P206" i="8"/>
  <c r="P58" i="8"/>
  <c r="O310" i="8"/>
  <c r="J351" i="8"/>
  <c r="J314" i="8"/>
  <c r="J305" i="8"/>
  <c r="O314" i="8"/>
  <c r="O305" i="8"/>
  <c r="P353" i="8"/>
  <c r="P286" i="8"/>
  <c r="K273" i="8"/>
  <c r="K271" i="8"/>
  <c r="P282" i="8"/>
  <c r="E16" i="8"/>
  <c r="E14" i="8"/>
  <c r="P60" i="8"/>
  <c r="J208" i="8"/>
  <c r="P208" i="8"/>
  <c r="P317" i="8"/>
  <c r="P32" i="8"/>
  <c r="P42" i="8"/>
  <c r="J43" i="8"/>
  <c r="P43" i="8"/>
  <c r="I93" i="8"/>
  <c r="I84" i="8"/>
  <c r="I384" i="8"/>
  <c r="E113" i="8"/>
  <c r="P113" i="8"/>
  <c r="J344" i="8"/>
  <c r="P344" i="8"/>
  <c r="O343" i="8"/>
  <c r="J343" i="8"/>
  <c r="J365" i="8"/>
  <c r="J363" i="8"/>
  <c r="P363" i="8"/>
  <c r="P270" i="8"/>
  <c r="P254" i="8"/>
  <c r="P253" i="8"/>
  <c r="E165" i="8"/>
  <c r="O48" i="8"/>
  <c r="P233" i="8"/>
  <c r="J101" i="8"/>
  <c r="E254" i="8"/>
  <c r="E253" i="8"/>
  <c r="E242" i="8"/>
  <c r="O273" i="8"/>
  <c r="O271" i="8"/>
  <c r="P345" i="8"/>
  <c r="E314" i="8"/>
  <c r="E305" i="8"/>
  <c r="O378" i="8"/>
  <c r="O377" i="8"/>
  <c r="J272" i="8"/>
  <c r="P272" i="8"/>
  <c r="O268" i="8"/>
  <c r="O235" i="8"/>
  <c r="O234" i="8"/>
  <c r="P148" i="8"/>
  <c r="N147" i="8"/>
  <c r="N144" i="8"/>
  <c r="P154" i="8"/>
  <c r="L147" i="8"/>
  <c r="L144" i="8"/>
  <c r="P207" i="8"/>
  <c r="P237" i="8"/>
  <c r="O242" i="8"/>
  <c r="O240" i="8"/>
  <c r="P246" i="8"/>
  <c r="P256" i="8"/>
  <c r="P125" i="8"/>
  <c r="E90" i="8"/>
  <c r="O258" i="8"/>
  <c r="K254" i="8"/>
  <c r="K253" i="8"/>
  <c r="P343" i="8"/>
  <c r="P356" i="8"/>
  <c r="P372" i="8"/>
  <c r="J50" i="8"/>
  <c r="J41" i="8"/>
  <c r="J273" i="8"/>
  <c r="J271" i="8"/>
  <c r="P211" i="8"/>
  <c r="P271" i="8"/>
  <c r="P165" i="8"/>
  <c r="J147" i="8"/>
  <c r="J144" i="8"/>
  <c r="P235" i="8"/>
  <c r="L384" i="8"/>
  <c r="P268" i="8"/>
  <c r="O16" i="8"/>
  <c r="O14" i="8"/>
  <c r="M384" i="8"/>
  <c r="O147" i="8"/>
  <c r="O144" i="8"/>
  <c r="P234" i="8"/>
  <c r="E147" i="8"/>
  <c r="E144" i="8"/>
  <c r="G384" i="8"/>
  <c r="O50" i="8"/>
  <c r="O41" i="8"/>
  <c r="P93" i="8"/>
  <c r="J30" i="8"/>
  <c r="P30" i="8"/>
  <c r="P16" i="8"/>
  <c r="P14" i="8"/>
  <c r="N384" i="8"/>
  <c r="P245" i="8"/>
  <c r="P241" i="8"/>
  <c r="J241" i="8"/>
  <c r="P50" i="8"/>
  <c r="P41" i="8"/>
  <c r="K384" i="8"/>
  <c r="K390" i="8"/>
  <c r="K392" i="8"/>
  <c r="K394" i="8"/>
  <c r="F384" i="8"/>
  <c r="P273" i="8"/>
  <c r="P351" i="8"/>
  <c r="P314" i="8"/>
  <c r="J258" i="8"/>
  <c r="O254" i="8"/>
  <c r="O253" i="8"/>
  <c r="P147" i="8"/>
  <c r="P144" i="8"/>
  <c r="P305" i="8"/>
  <c r="E93" i="8"/>
  <c r="E84" i="8"/>
  <c r="P84" i="8"/>
  <c r="E240" i="8"/>
  <c r="P240" i="8"/>
  <c r="P242" i="8"/>
  <c r="P101" i="8"/>
  <c r="J90" i="8"/>
  <c r="P90" i="8"/>
  <c r="O384" i="8"/>
  <c r="J16" i="8"/>
  <c r="J14" i="8"/>
  <c r="E384" i="8"/>
  <c r="E390" i="8"/>
  <c r="P384" i="8"/>
  <c r="P390" i="8"/>
  <c r="P392" i="8"/>
  <c r="P258" i="8"/>
  <c r="J254" i="8"/>
  <c r="J253" i="8"/>
  <c r="J384" i="8"/>
  <c r="J390" i="8"/>
  <c r="J392" i="8"/>
  <c r="J394" i="8"/>
  <c r="E392" i="8"/>
  <c r="E394" i="8"/>
  <c r="P394" i="8"/>
</calcChain>
</file>

<file path=xl/sharedStrings.xml><?xml version="1.0" encoding="utf-8"?>
<sst xmlns="http://schemas.openxmlformats.org/spreadsheetml/2006/main" count="999" uniqueCount="654">
  <si>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</si>
  <si>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</si>
  <si>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</si>
  <si>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</si>
  <si>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</si>
  <si>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</si>
  <si>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</si>
  <si>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</si>
  <si>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</si>
  <si>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</si>
  <si>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</si>
  <si>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</si>
  <si>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</si>
  <si>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</si>
  <si>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</si>
  <si>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</si>
  <si>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</si>
  <si>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</si>
  <si>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</si>
  <si>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</si>
  <si>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</si>
  <si>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</si>
  <si>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</si>
  <si>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</si>
  <si>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</si>
  <si>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</si>
  <si>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</si>
  <si>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</si>
  <si>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</si>
  <si>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</si>
  <si>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</si>
  <si>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</si>
  <si>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</si>
  <si>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</si>
  <si>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</si>
  <si>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</si>
  <si>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</si>
  <si>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</si>
  <si>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</si>
  <si>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</si>
  <si>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</si>
  <si>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</si>
  <si>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</si>
  <si>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</si>
  <si>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</si>
  <si>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</si>
  <si>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</si>
  <si>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</si>
  <si>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</si>
  <si>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</si>
  <si>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</si>
  <si>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</si>
  <si>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</si>
  <si>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</si>
  <si>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</si>
  <si>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</si>
  <si>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</si>
  <si>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</si>
  <si>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</si>
  <si>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</si>
  <si>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</si>
  <si>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</si>
  <si>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</si>
  <si>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</si>
  <si>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</si>
  <si>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</si>
  <si>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</si>
  <si>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</si>
  <si>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</si>
  <si>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</si>
  <si>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</si>
  <si>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</si>
  <si>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</si>
  <si>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</si>
  <si>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</si>
  <si>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</si>
  <si>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</si>
  <si>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</si>
  <si>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</si>
  <si>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</si>
  <si>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</si>
  <si>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</si>
  <si>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</si>
  <si>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</si>
  <si>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</si>
  <si>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</si>
  <si>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</si>
  <si>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</si>
  <si>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</si>
  <si>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</si>
  <si>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</si>
  <si>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</si>
  <si>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</si>
  <si>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</si>
  <si>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</si>
  <si>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</si>
  <si>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</si>
  <si>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</si>
  <si>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</si>
  <si>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</si>
  <si>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</si>
  <si>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</si>
  <si>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</si>
  <si>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</si>
  <si>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</si>
  <si>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</si>
  <si>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</si>
  <si>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</si>
  <si>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</si>
  <si>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</si>
  <si>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</si>
  <si>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</si>
  <si>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</si>
  <si>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</si>
  <si>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</si>
  <si>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</si>
  <si>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</si>
  <si>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</si>
  <si>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</si>
  <si>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</si>
  <si>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</si>
  <si>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</si>
  <si>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</si>
  <si>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</si>
  <si>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</si>
  <si>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</si>
  <si>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</si>
  <si>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</si>
  <si>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</si>
  <si>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</si>
  <si>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</si>
  <si>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</si>
  <si>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</si>
  <si>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</si>
  <si>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</si>
  <si>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</si>
  <si>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</si>
  <si>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</si>
  <si>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</si>
  <si>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</si>
  <si>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</si>
  <si>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</si>
  <si>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</si>
  <si>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</si>
  <si>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</si>
  <si>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</si>
  <si>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</si>
  <si>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</si>
  <si>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</si>
  <si>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</si>
  <si>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</si>
  <si>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</si>
  <si>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</si>
  <si>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</si>
  <si>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</si>
  <si>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</si>
  <si>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</si>
  <si>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</si>
  <si>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</si>
  <si>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</si>
  <si>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</si>
  <si>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</si>
  <si>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</si>
  <si>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</si>
  <si>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</si>
  <si>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</si>
  <si>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</si>
  <si>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</si>
  <si>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</si>
  <si>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</si>
  <si>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</si>
  <si>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</si>
  <si>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</si>
  <si>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</si>
  <si>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</si>
  <si>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</si>
  <si>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</si>
  <si>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</si>
  <si>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</si>
  <si>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</si>
  <si>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</si>
  <si>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</si>
  <si>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</si>
  <si>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</si>
  <si>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</si>
  <si>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</si>
  <si>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</si>
  <si>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</si>
  <si>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</si>
  <si>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</si>
  <si>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</si>
  <si>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</si>
  <si>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</si>
  <si>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</si>
  <si>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</si>
  <si>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</si>
  <si>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</si>
  <si>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</si>
  <si>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</si>
  <si>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</si>
  <si>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0611020</t>
  </si>
  <si>
    <t>0611090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</si>
  <si>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</si>
  <si>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</si>
  <si>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</si>
  <si>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</si>
  <si>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</si>
  <si>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</si>
  <si>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</si>
  <si>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</si>
  <si>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</si>
  <si>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</si>
  <si>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</si>
  <si>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</si>
  <si>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</si>
  <si>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</si>
  <si>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</si>
  <si>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</si>
  <si>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</si>
  <si>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</si>
  <si>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</si>
  <si>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</si>
  <si>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</si>
  <si>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</si>
  <si>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</si>
  <si>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</si>
  <si>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</si>
  <si>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</si>
  <si>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</si>
  <si>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</si>
  <si>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</si>
  <si>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</si>
  <si>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</si>
  <si>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</si>
  <si>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</si>
  <si>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</si>
  <si>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</si>
  <si>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</si>
  <si>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</si>
  <si>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</si>
  <si>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</si>
  <si>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</si>
  <si>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</si>
  <si>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</si>
  <si>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</si>
  <si>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</si>
  <si>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</si>
  <si>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</si>
  <si>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</si>
  <si>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</si>
  <si>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</si>
  <si>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</si>
  <si>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</si>
  <si>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</si>
  <si>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</si>
  <si>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</si>
  <si>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</si>
  <si>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</si>
  <si>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</si>
  <si>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</si>
  <si>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</si>
  <si>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</si>
  <si>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</si>
  <si>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</si>
  <si>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</si>
  <si>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</si>
  <si>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</si>
  <si>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</si>
  <si>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</si>
  <si>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</si>
  <si>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</si>
  <si>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</si>
  <si>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</si>
  <si>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</si>
  <si>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</si>
  <si>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</si>
  <si>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</si>
  <si>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</si>
  <si>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</si>
  <si>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</si>
  <si>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</si>
  <si>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</si>
  <si>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</si>
  <si>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</si>
  <si>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</si>
  <si>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</si>
  <si>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</si>
  <si>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</si>
  <si>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</si>
  <si>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</si>
  <si>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</si>
  <si>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</si>
  <si>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</si>
  <si>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</si>
  <si>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</si>
  <si>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</si>
  <si>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</si>
  <si>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</si>
  <si>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</si>
  <si>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</si>
  <si>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</si>
  <si>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</si>
  <si>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</si>
  <si>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</si>
  <si>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</si>
  <si>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</si>
  <si>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</si>
  <si>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</si>
  <si>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</si>
  <si>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</si>
  <si>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</si>
  <si>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</si>
  <si>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</si>
  <si>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</si>
  <si>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</si>
  <si>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</si>
  <si>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</si>
  <si>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</si>
  <si>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</si>
  <si>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</si>
  <si>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</si>
  <si>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</si>
  <si>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</si>
  <si>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</si>
  <si>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</si>
  <si>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</si>
  <si>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</si>
  <si>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</si>
  <si>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</si>
  <si>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</si>
  <si>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</si>
  <si>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</si>
  <si>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</si>
  <si>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</si>
  <si>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</si>
  <si>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</si>
  <si>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</si>
  <si>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</si>
  <si>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</si>
  <si>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</si>
  <si>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</si>
  <si>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</si>
  <si>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</si>
  <si>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</si>
  <si>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</si>
  <si>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</si>
  <si>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</si>
  <si>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</si>
  <si>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</si>
  <si>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</si>
  <si>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</si>
  <si>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</si>
  <si>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</si>
  <si>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</si>
  <si>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</si>
  <si>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</si>
  <si>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</si>
  <si>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</si>
  <si>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</si>
  <si>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</si>
  <si>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</si>
  <si>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</si>
  <si>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</si>
  <si>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</si>
  <si>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</si>
  <si>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</si>
  <si>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</si>
  <si>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</si>
  <si>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</si>
  <si>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</si>
  <si>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</si>
  <si>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</si>
  <si>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</si>
  <si>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</si>
  <si>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</si>
  <si>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</si>
  <si>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</si>
  <si>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</si>
  <si>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</si>
  <si>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</si>
  <si>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</si>
  <si>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</si>
  <si>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</si>
  <si>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</si>
  <si>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</si>
  <si>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</si>
  <si>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</si>
  <si>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</si>
  <si>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</si>
  <si>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</si>
  <si>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</si>
  <si>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</si>
  <si>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</si>
  <si>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</si>
  <si>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</si>
  <si>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</si>
  <si>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</si>
  <si>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</si>
  <si>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</si>
  <si>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</si>
  <si>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</si>
  <si>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</si>
  <si>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</si>
  <si>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</si>
  <si>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</si>
  <si>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</si>
  <si>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</si>
  <si>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</si>
  <si>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</si>
  <si>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</si>
  <si>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</si>
  <si>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</si>
  <si>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</si>
  <si>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</si>
  <si>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</si>
  <si>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</si>
  <si>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</si>
  <si>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</si>
  <si>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</si>
  <si>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</si>
  <si>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</si>
  <si>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</si>
  <si>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</si>
  <si>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</si>
  <si>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</si>
  <si>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</si>
  <si>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</si>
  <si>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</si>
  <si>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</si>
  <si>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</si>
  <si>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</si>
  <si>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</si>
  <si>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</si>
  <si>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</si>
  <si>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</si>
  <si>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</si>
  <si>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</si>
  <si>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</si>
  <si>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</si>
  <si>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</si>
  <si>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</si>
  <si>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</si>
  <si>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</si>
  <si>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</si>
  <si>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</si>
  <si>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</si>
  <si>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</si>
  <si>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</si>
  <si>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</si>
  <si>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</si>
  <si>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</si>
  <si>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</si>
  <si>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</si>
  <si>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</si>
  <si>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</si>
  <si>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</si>
  <si>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</si>
  <si>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</si>
  <si>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</si>
  <si>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</si>
  <si>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</si>
  <si>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</si>
  <si>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</si>
  <si>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</si>
  <si>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</si>
  <si>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</si>
  <si>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</si>
  <si>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</si>
  <si>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</si>
  <si>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</si>
  <si>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</si>
  <si>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</si>
  <si>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</si>
  <si>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</si>
  <si>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</si>
  <si>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</si>
  <si>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</si>
  <si>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</si>
  <si>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</si>
  <si>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</si>
  <si>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</si>
  <si>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</si>
  <si>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</si>
  <si>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</si>
  <si>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</si>
  <si>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</si>
  <si>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</si>
  <si>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</si>
  <si>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</si>
  <si>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</si>
  <si>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</si>
  <si>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</si>
  <si>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</si>
  <si>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</si>
  <si>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</si>
  <si>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</si>
  <si>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</si>
  <si>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</si>
  <si>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</si>
  <si>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</si>
  <si>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</si>
  <si>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</si>
  <si>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</si>
  <si>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</si>
  <si>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</si>
  <si>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</si>
  <si>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</si>
  <si>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</si>
  <si>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</si>
  <si>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</si>
  <si>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</si>
  <si>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</si>
  <si>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</si>
  <si>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</si>
  <si>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</si>
  <si>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</si>
  <si>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</si>
  <si>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</si>
  <si>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</si>
  <si>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</si>
  <si>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</si>
  <si>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</si>
  <si>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</si>
  <si>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</si>
  <si>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</si>
  <si>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</si>
  <si>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</si>
  <si>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</si>
  <si>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</si>
  <si>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</si>
  <si>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</si>
  <si>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</si>
  <si>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</si>
  <si>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</si>
  <si>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</si>
  <si>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</si>
  <si>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</si>
  <si>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</si>
  <si>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</si>
  <si>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</si>
  <si>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</si>
  <si>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</si>
  <si>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</si>
  <si>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</si>
  <si>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</si>
  <si>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</si>
  <si>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</si>
  <si>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</si>
  <si>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</si>
  <si>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</si>
  <si>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</si>
  <si>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</si>
  <si>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</si>
  <si>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</si>
  <si>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</si>
  <si>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</si>
  <si>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</si>
  <si>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</si>
  <si>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</si>
  <si>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</si>
  <si>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</si>
  <si>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</si>
  <si>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</si>
  <si>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</si>
  <si>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</si>
  <si>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</si>
  <si>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</si>
  <si>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</si>
  <si>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</si>
  <si>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</si>
  <si>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</si>
  <si>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</si>
  <si>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</si>
  <si>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</si>
  <si>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</si>
  <si>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</si>
  <si>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</si>
  <si>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</si>
  <si>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</si>
  <si>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</si>
  <si>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</si>
  <si>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</si>
  <si>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</si>
  <si>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</si>
  <si>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</si>
  <si>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</si>
  <si>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</si>
  <si>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</si>
  <si>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</si>
  <si>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</si>
  <si>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</si>
  <si>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</si>
  <si>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</si>
  <si>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</si>
  <si>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</si>
  <si>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</si>
  <si>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</si>
  <si>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</si>
  <si>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дох</t>
  </si>
  <si>
    <t>дод 2</t>
  </si>
  <si>
    <t>джерела</t>
  </si>
  <si>
    <t>кредитов</t>
  </si>
  <si>
    <t>дефицит</t>
  </si>
  <si>
    <t>дод 1</t>
  </si>
  <si>
    <t>дох-расх</t>
  </si>
  <si>
    <t>дод 4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</si>
  <si>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</si>
  <si>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</si>
  <si>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</si>
  <si>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</si>
  <si>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</si>
  <si>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</si>
  <si>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</si>
  <si>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</si>
  <si>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</si>
  <si>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</si>
  <si>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РОЗПОДІЛ видатків місцевого бюджету на 2020 рік</t>
  </si>
  <si>
    <t>(грн)</t>
  </si>
  <si>
    <t>2310700000</t>
  </si>
  <si>
    <t>(код бюджету)</t>
  </si>
  <si>
    <t>0617693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</si>
  <si>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</si>
  <si>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</si>
  <si>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</si>
  <si>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</si>
  <si>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 xml:space="preserve">	
Методичне забезпечення діяльності закладів освіти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</si>
  <si>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</si>
  <si>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</si>
  <si>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</si>
  <si>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</si>
  <si>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</si>
  <si>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</si>
  <si>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</si>
  <si>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</si>
  <si>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</si>
  <si>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</si>
  <si>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</si>
  <si>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Виконання заходів в рамках реалізації програми "Спроможна школа для кращих результатів"</t>
  </si>
  <si>
    <t>1511180</t>
  </si>
  <si>
    <t>1180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</si>
  <si>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</si>
  <si>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</si>
  <si>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</si>
  <si>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</si>
  <si>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</si>
  <si>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</si>
  <si>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</si>
  <si>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0816083</t>
  </si>
  <si>
    <t>Мелітопольський міський голова</t>
  </si>
  <si>
    <t>Іван ФЕДОРОВ</t>
  </si>
  <si>
    <t>за рахунок субвенції з місцевого бюджету на забезпечення подачею кисню ліжкового фонду закладів охорони здоров`я, які надають стаціонарну медичну допомогу пацієнтам з гострою респіраторною хворобою COVID-19, спричиненою коронавірусом SARS-CoV-2, за рахунок відповідної субвенції з державного бюджету</t>
  </si>
  <si>
    <t>за рахунок субвенції з місцевого бюджету на забезпечення  здійснення деяких заходів, спрямованих на запобігання винекненню та поширенню, локалізацію та ліквідацію спалахів, епідемії та пандемії гострої респіраторної     хвороби COVID-19, спричиненою коронавірусом SARS-CoV-2, за рахунок відповідної субвенції з державного бюджету</t>
  </si>
  <si>
    <t>за рахунок субвенцїї з місцевого бюджету на проектні, будівельно-ремонтні роботи, придбання житла та приміщень для розвитку сімейних 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</si>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</sst>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i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2" fillId="0" borderId="0" xfId="0" applyFont="1"/>
    <xf numFmtId="0" fontId="2" fillId="0" borderId="0" xfId="0" applyFont="1" applyAlignment="1"/>
    <xf numFmtId="0" fontId="14" fillId="0" borderId="0" xfId="0" applyFont="1"/>
    <xf numFmtId="0" fontId="16" fillId="0" borderId="0" xfId="0" applyFont="1" applyFill="1"/>
    <xf numFmtId="0" fontId="17" fillId="0" borderId="0" xfId="0" applyFont="1"/>
    <xf numFmtId="0" fontId="1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25" fillId="0" borderId="1" xfId="0" applyFont="1" applyBorder="1" applyAlignment="1">
      <alignment horizontal="justify" wrapText="1"/>
    </xf>
    <xf numFmtId="0" fontId="23" fillId="0" borderId="1" xfId="0" applyFont="1" applyBorder="1"/>
    <xf numFmtId="0" fontId="12" fillId="0" borderId="1" xfId="0" applyFont="1" applyBorder="1" applyAlignment="1">
      <alignment wrapText="1"/>
    </xf>
    <xf numFmtId="0" fontId="25" fillId="0" borderId="1" xfId="0" applyFont="1" applyBorder="1"/>
    <xf numFmtId="0" fontId="0" fillId="0" borderId="0" xfId="0" applyFont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1" xfId="0" applyFont="1" applyBorder="1" applyAlignment="1">
      <alignment vertical="center" wrapText="1"/>
    </xf>
    <xf numFmtId="49" fontId="2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>
      <alignment vertical="top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top" wrapText="1" shrinkToFit="1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/>
    <xf numFmtId="49" fontId="22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/>
    <xf numFmtId="49" fontId="16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ont="1" applyFill="1" applyBorder="1" applyAlignment="1">
      <alignment horizontal="right" vertical="center"/>
    </xf>
    <xf numFmtId="49" fontId="14" fillId="2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15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right" wrapText="1"/>
    </xf>
    <xf numFmtId="3" fontId="15" fillId="2" borderId="1" xfId="0" applyNumberFormat="1" applyFont="1" applyFill="1" applyBorder="1" applyAlignment="1">
      <alignment horizontal="right"/>
    </xf>
    <xf numFmtId="49" fontId="1" fillId="0" borderId="0" xfId="0" applyNumberFormat="1" applyFont="1" applyFill="1" applyAlignment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right" wrapText="1"/>
    </xf>
    <xf numFmtId="49" fontId="21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right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wrapText="1"/>
    </xf>
    <xf numFmtId="49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vertical="top" wrapText="1"/>
    </xf>
    <xf numFmtId="0" fontId="15" fillId="2" borderId="1" xfId="0" applyFont="1" applyFill="1" applyBorder="1" applyAlignment="1">
      <alignment horizontal="right"/>
    </xf>
    <xf numFmtId="0" fontId="12" fillId="0" borderId="1" xfId="0" applyFont="1" applyBorder="1" applyAlignment="1" applyProtection="1">
      <alignment vertical="top" wrapText="1"/>
      <protection locked="0"/>
    </xf>
    <xf numFmtId="0" fontId="1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right" wrapText="1"/>
    </xf>
    <xf numFmtId="49" fontId="26" fillId="2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Border="1" applyAlignment="1">
      <alignment horizontal="right"/>
    </xf>
    <xf numFmtId="0" fontId="15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>
      <alignment horizontal="right" wrapText="1"/>
    </xf>
    <xf numFmtId="3" fontId="12" fillId="0" borderId="1" xfId="0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49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0" fillId="0" borderId="1" xfId="0" applyFont="1" applyBorder="1" applyAlignment="1">
      <alignment horizontal="right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Border="1" applyAlignment="1">
      <alignment horizontal="right"/>
    </xf>
    <xf numFmtId="0" fontId="18" fillId="0" borderId="1" xfId="0" applyFont="1" applyFill="1" applyBorder="1" applyAlignment="1">
      <alignment horizontal="right" wrapText="1"/>
    </xf>
    <xf numFmtId="49" fontId="24" fillId="2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right"/>
    </xf>
    <xf numFmtId="49" fontId="17" fillId="2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Border="1"/>
    <xf numFmtId="49" fontId="1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23" fillId="0" borderId="1" xfId="0" applyFont="1" applyFill="1" applyBorder="1"/>
    <xf numFmtId="0" fontId="15" fillId="0" borderId="1" xfId="0" applyFont="1" applyFill="1" applyBorder="1" applyAlignment="1">
      <alignment vertical="top" wrapText="1"/>
    </xf>
    <xf numFmtId="49" fontId="11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0" fontId="12" fillId="0" borderId="1" xfId="0" applyFont="1" applyBorder="1" applyProtection="1">
      <protection locked="0"/>
    </xf>
    <xf numFmtId="1" fontId="12" fillId="0" borderId="1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 wrapText="1"/>
    </xf>
    <xf numFmtId="0" fontId="18" fillId="2" borderId="1" xfId="0" applyFont="1" applyFill="1" applyBorder="1" applyAlignment="1">
      <alignment horizontal="right" wrapText="1"/>
    </xf>
    <xf numFmtId="3" fontId="12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>
      <alignment horizontal="right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/>
    <xf numFmtId="3" fontId="15" fillId="0" borderId="1" xfId="0" applyNumberFormat="1" applyFont="1" applyBorder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49" fontId="21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49" fontId="27" fillId="2" borderId="0" xfId="0" applyNumberFormat="1" applyFont="1" applyFill="1" applyAlignment="1">
      <alignment horizontal="left" vertical="center"/>
    </xf>
    <xf numFmtId="0" fontId="10" fillId="0" borderId="0" xfId="0" applyFont="1" applyFill="1" applyBorder="1" applyAlignment="1">
      <alignment horizontal="right" wrapText="1"/>
    </xf>
    <xf numFmtId="0" fontId="12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7" fillId="0" borderId="0" xfId="0" applyFont="1" applyFill="1"/>
    <xf numFmtId="0" fontId="10" fillId="0" borderId="0" xfId="0" applyFont="1" applyFill="1" applyBorder="1" applyAlignment="1">
      <alignment horizontal="right"/>
    </xf>
    <xf numFmtId="49" fontId="28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2" borderId="0" xfId="0" applyNumberFormat="1" applyFont="1" applyFill="1" applyAlignment="1">
      <alignment horizontal="right" vertical="center"/>
    </xf>
    <xf numFmtId="0" fontId="0" fillId="0" borderId="0" xfId="0" applyFont="1" applyAlignment="1">
      <alignment vertical="center"/>
    </xf>
    <xf numFmtId="49" fontId="0" fillId="2" borderId="0" xfId="0" applyNumberFormat="1" applyFont="1" applyFill="1" applyAlignment="1">
      <alignment horizontal="left" vertical="center"/>
    </xf>
    <xf numFmtId="0" fontId="10" fillId="0" borderId="1" xfId="0" applyFont="1" applyBorder="1" applyAlignment="1" applyProtection="1">
      <alignment vertical="top" wrapText="1"/>
      <protection locked="0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2" fontId="15" fillId="0" borderId="1" xfId="0" applyNumberFormat="1" applyFont="1" applyBorder="1" applyAlignment="1">
      <alignment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3" borderId="0" xfId="0" applyFont="1" applyFill="1"/>
    <xf numFmtId="0" fontId="6" fillId="0" borderId="0" xfId="0" applyFont="1" applyAlignment="1">
      <alignment wrapText="1"/>
    </xf>
    <xf numFmtId="0" fontId="29" fillId="0" borderId="1" xfId="0" applyFont="1" applyFill="1" applyBorder="1" applyAlignment="1">
      <alignment horizontal="right"/>
    </xf>
    <xf numFmtId="0" fontId="1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25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2%202020%20&#1075;&#1088;&#1091;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26">
          <cell r="E26">
            <v>254245204</v>
          </cell>
          <cell r="F26">
            <v>254125204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5"/>
  <sheetViews>
    <sheetView tabSelected="1" topLeftCell="A9" zoomScaleNormal="100" zoomScaleSheetLayoutView="100" workbookViewId="0">
      <pane xSplit="4" ySplit="5" topLeftCell="J381" activePane="bottomRight" state="frozen"/>
      <selection activeCell="A9" sqref="A9"/>
      <selection pane="topRight" activeCell="E9" sqref="E9"/>
      <selection pane="bottomLeft" activeCell="A14" sqref="A14"/>
      <selection pane="bottomRight" activeCell="L405" sqref="L405"/>
    </sheetView>
  </sheetViews>
  <sheetFormatPr defaultRowHeight="12.75" x14ac:dyDescent="0.2"/>
  <cols>
    <col min="1" max="1" width="11.28515625" style="145" customWidth="1"/>
    <col min="2" max="2" width="11.28515625" style="1" customWidth="1"/>
    <col min="3" max="3" width="10.28515625" style="146" customWidth="1"/>
    <col min="4" max="4" width="74.5703125" style="18" customWidth="1"/>
    <col min="5" max="5" width="12" style="18" customWidth="1"/>
    <col min="6" max="7" width="11.140625" style="18" customWidth="1"/>
    <col min="8" max="8" width="10.28515625" style="18" bestFit="1" customWidth="1"/>
    <col min="9" max="9" width="9.28515625" style="18" customWidth="1"/>
    <col min="10" max="10" width="12" style="18" customWidth="1"/>
    <col min="11" max="11" width="11.85546875" style="18" customWidth="1"/>
    <col min="12" max="12" width="10.140625" style="18" customWidth="1"/>
    <col min="13" max="13" width="12" style="18" bestFit="1" customWidth="1"/>
    <col min="14" max="14" width="9.140625" style="18"/>
    <col min="15" max="16" width="13" style="18" customWidth="1"/>
    <col min="17" max="19" width="11" style="18" bestFit="1" customWidth="1"/>
    <col min="20" max="16384" width="9.140625" style="18"/>
  </cols>
  <sheetData>
    <row r="1" spans="1:21" x14ac:dyDescent="0.2">
      <c r="N1" s="13" t="s">
        <v>560</v>
      </c>
      <c r="P1" s="6"/>
    </row>
    <row r="2" spans="1:21" ht="24" customHeight="1" x14ac:dyDescent="0.2">
      <c r="C2" s="2"/>
      <c r="N2" s="162" t="s">
        <v>98</v>
      </c>
      <c r="O2" s="162"/>
      <c r="P2" s="162"/>
    </row>
    <row r="3" spans="1:21" x14ac:dyDescent="0.2">
      <c r="C3" s="3"/>
      <c r="N3" s="12" t="s">
        <v>561</v>
      </c>
      <c r="P3" s="11"/>
    </row>
    <row r="4" spans="1:21" ht="38.25" customHeight="1" x14ac:dyDescent="0.2">
      <c r="C4" s="3"/>
      <c r="N4" s="162"/>
      <c r="O4" s="162"/>
      <c r="P4" s="162"/>
    </row>
    <row r="5" spans="1:21" ht="17.25" x14ac:dyDescent="0.25">
      <c r="C5" s="163" t="s">
        <v>616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21" ht="17.25" x14ac:dyDescent="0.25">
      <c r="A6" s="128" t="s">
        <v>618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21" x14ac:dyDescent="0.2">
      <c r="A7" s="147" t="s">
        <v>619</v>
      </c>
    </row>
    <row r="8" spans="1:21" x14ac:dyDescent="0.2">
      <c r="C8" s="4"/>
      <c r="P8" s="127" t="s">
        <v>617</v>
      </c>
    </row>
    <row r="9" spans="1:21" ht="15" x14ac:dyDescent="0.25">
      <c r="A9" s="164" t="s">
        <v>563</v>
      </c>
      <c r="B9" s="165" t="s">
        <v>564</v>
      </c>
      <c r="C9" s="166" t="s">
        <v>565</v>
      </c>
      <c r="D9" s="167" t="s">
        <v>566</v>
      </c>
      <c r="E9" s="169" t="s">
        <v>112</v>
      </c>
      <c r="F9" s="169"/>
      <c r="G9" s="169"/>
      <c r="H9" s="169"/>
      <c r="I9" s="169"/>
      <c r="J9" s="169" t="s">
        <v>113</v>
      </c>
      <c r="K9" s="169"/>
      <c r="L9" s="169"/>
      <c r="M9" s="169"/>
      <c r="N9" s="169"/>
      <c r="O9" s="169"/>
      <c r="P9" s="169" t="s">
        <v>114</v>
      </c>
    </row>
    <row r="10" spans="1:21" ht="22.5" customHeight="1" x14ac:dyDescent="0.2">
      <c r="A10" s="164"/>
      <c r="B10" s="165"/>
      <c r="C10" s="166"/>
      <c r="D10" s="167"/>
      <c r="E10" s="168" t="s">
        <v>567</v>
      </c>
      <c r="F10" s="173" t="s">
        <v>115</v>
      </c>
      <c r="G10" s="168" t="s">
        <v>116</v>
      </c>
      <c r="H10" s="168"/>
      <c r="I10" s="168" t="s">
        <v>117</v>
      </c>
      <c r="J10" s="170" t="s">
        <v>568</v>
      </c>
      <c r="K10" s="170" t="s">
        <v>569</v>
      </c>
      <c r="L10" s="168" t="s">
        <v>115</v>
      </c>
      <c r="M10" s="168" t="s">
        <v>116</v>
      </c>
      <c r="N10" s="168"/>
      <c r="O10" s="168" t="s">
        <v>117</v>
      </c>
      <c r="P10" s="169"/>
    </row>
    <row r="11" spans="1:21" ht="21.75" customHeight="1" x14ac:dyDescent="0.2">
      <c r="A11" s="164"/>
      <c r="B11" s="165"/>
      <c r="C11" s="166"/>
      <c r="D11" s="167"/>
      <c r="E11" s="168"/>
      <c r="F11" s="173"/>
      <c r="G11" s="168" t="s">
        <v>118</v>
      </c>
      <c r="H11" s="168" t="s">
        <v>119</v>
      </c>
      <c r="I11" s="168"/>
      <c r="J11" s="170"/>
      <c r="K11" s="170"/>
      <c r="L11" s="168"/>
      <c r="M11" s="168" t="s">
        <v>118</v>
      </c>
      <c r="N11" s="168" t="s">
        <v>119</v>
      </c>
      <c r="O11" s="168"/>
      <c r="P11" s="169"/>
    </row>
    <row r="12" spans="1:21" ht="31.5" customHeight="1" x14ac:dyDescent="0.2">
      <c r="A12" s="164"/>
      <c r="B12" s="165"/>
      <c r="C12" s="166"/>
      <c r="D12" s="167"/>
      <c r="E12" s="168"/>
      <c r="F12" s="173"/>
      <c r="G12" s="168"/>
      <c r="H12" s="168"/>
      <c r="I12" s="168"/>
      <c r="J12" s="170"/>
      <c r="K12" s="170"/>
      <c r="L12" s="168"/>
      <c r="M12" s="168"/>
      <c r="N12" s="168"/>
      <c r="O12" s="168"/>
      <c r="P12" s="169"/>
    </row>
    <row r="13" spans="1:21" s="136" customFormat="1" x14ac:dyDescent="0.2">
      <c r="A13" s="134">
        <v>1</v>
      </c>
      <c r="B13" s="135" t="s">
        <v>78</v>
      </c>
      <c r="C13" s="144">
        <v>3</v>
      </c>
      <c r="D13" s="59">
        <v>4</v>
      </c>
      <c r="E13" s="59">
        <v>5</v>
      </c>
      <c r="F13" s="59">
        <v>6</v>
      </c>
      <c r="G13" s="59">
        <v>7</v>
      </c>
      <c r="H13" s="59">
        <v>8</v>
      </c>
      <c r="I13" s="59">
        <v>9</v>
      </c>
      <c r="J13" s="59">
        <v>10</v>
      </c>
      <c r="K13" s="59">
        <v>11</v>
      </c>
      <c r="L13" s="59">
        <v>12</v>
      </c>
      <c r="M13" s="59">
        <v>13</v>
      </c>
      <c r="N13" s="59">
        <v>14</v>
      </c>
      <c r="O13" s="59">
        <v>15</v>
      </c>
      <c r="P13" s="59">
        <v>16</v>
      </c>
    </row>
    <row r="14" spans="1:21" x14ac:dyDescent="0.2">
      <c r="A14" s="39" t="s">
        <v>172</v>
      </c>
      <c r="B14" s="60"/>
      <c r="C14" s="61"/>
      <c r="D14" s="148" t="s">
        <v>120</v>
      </c>
      <c r="E14" s="62">
        <f>E16</f>
        <v>56839727</v>
      </c>
      <c r="F14" s="62">
        <f t="shared" ref="F14:P14" si="0">F16</f>
        <v>56839727</v>
      </c>
      <c r="G14" s="62">
        <f t="shared" si="0"/>
        <v>37402754</v>
      </c>
      <c r="H14" s="62">
        <f t="shared" si="0"/>
        <v>1070000</v>
      </c>
      <c r="I14" s="62">
        <f t="shared" si="0"/>
        <v>0</v>
      </c>
      <c r="J14" s="62">
        <f>J16</f>
        <v>2737847</v>
      </c>
      <c r="K14" s="62">
        <f>K16</f>
        <v>1122847</v>
      </c>
      <c r="L14" s="62">
        <f t="shared" si="0"/>
        <v>1150000</v>
      </c>
      <c r="M14" s="62">
        <f t="shared" si="0"/>
        <v>0</v>
      </c>
      <c r="N14" s="62">
        <f t="shared" si="0"/>
        <v>0</v>
      </c>
      <c r="O14" s="62">
        <f t="shared" si="0"/>
        <v>1587847</v>
      </c>
      <c r="P14" s="62">
        <f t="shared" si="0"/>
        <v>59577574</v>
      </c>
      <c r="Q14" s="19"/>
      <c r="R14" s="129"/>
      <c r="S14" s="19"/>
      <c r="T14" s="19"/>
      <c r="U14" s="19"/>
    </row>
    <row r="15" spans="1:21" s="10" customFormat="1" ht="13.5" hidden="1" x14ac:dyDescent="0.2">
      <c r="A15" s="84"/>
      <c r="B15" s="85"/>
      <c r="C15" s="86"/>
      <c r="D15" s="40" t="s">
        <v>510</v>
      </c>
      <c r="E15" s="69">
        <f>E26</f>
        <v>0</v>
      </c>
      <c r="F15" s="121">
        <f>F26</f>
        <v>0</v>
      </c>
      <c r="G15" s="122"/>
      <c r="H15" s="122"/>
      <c r="I15" s="122"/>
      <c r="J15" s="122"/>
      <c r="K15" s="122"/>
      <c r="L15" s="122"/>
      <c r="M15" s="122"/>
      <c r="N15" s="122"/>
      <c r="O15" s="122"/>
      <c r="P15" s="122">
        <f>P26</f>
        <v>0</v>
      </c>
      <c r="Q15" s="8"/>
      <c r="R15" s="8"/>
      <c r="S15" s="8"/>
      <c r="T15" s="8"/>
      <c r="U15" s="8"/>
    </row>
    <row r="16" spans="1:21" s="7" customFormat="1" ht="17.25" customHeight="1" x14ac:dyDescent="0.2">
      <c r="A16" s="63" t="s">
        <v>179</v>
      </c>
      <c r="B16" s="60"/>
      <c r="C16" s="61"/>
      <c r="D16" s="22" t="s">
        <v>120</v>
      </c>
      <c r="E16" s="64">
        <f>E17+E20+E40+E22+E25+E29+E27+E34+E35+E38+E30+E33+E18</f>
        <v>56839727</v>
      </c>
      <c r="F16" s="64">
        <f>F17+F20+F40+F22+F25+F29+F27+F34+F35+F38+F30+F33+F18</f>
        <v>56839727</v>
      </c>
      <c r="G16" s="64">
        <f>G17+G20+G40+G22+G25+G29+G27+G34+G35+G38+G30+G33+G18</f>
        <v>37402754</v>
      </c>
      <c r="H16" s="64">
        <f>H17+H20+H40+H22+H25+H29+H27+H34+H35+H38+H30+H33+H18</f>
        <v>1070000</v>
      </c>
      <c r="I16" s="64">
        <f>I17+I20+I40+I22+I25+I29+I27+I34+I35+I38+I30+I33+I18</f>
        <v>0</v>
      </c>
      <c r="J16" s="64">
        <f t="shared" ref="J16:O16" si="1">J17+J20+J40+J22+J25+J29+J27+J34+J35+J38+J30+J33+J18+J37</f>
        <v>2737847</v>
      </c>
      <c r="K16" s="64">
        <f t="shared" si="1"/>
        <v>1122847</v>
      </c>
      <c r="L16" s="64">
        <f t="shared" si="1"/>
        <v>1150000</v>
      </c>
      <c r="M16" s="64">
        <f t="shared" si="1"/>
        <v>0</v>
      </c>
      <c r="N16" s="64">
        <f t="shared" si="1"/>
        <v>0</v>
      </c>
      <c r="O16" s="64">
        <f t="shared" si="1"/>
        <v>1587847</v>
      </c>
      <c r="P16" s="64">
        <f>P17+P20+P40+P22+P25+P28+P29+P27+P34+P35+P38+P30+P33+P36+P18</f>
        <v>59577574</v>
      </c>
      <c r="Q16" s="137"/>
      <c r="R16" s="137"/>
      <c r="S16" s="137"/>
      <c r="T16" s="137"/>
      <c r="U16" s="137"/>
    </row>
    <row r="17" spans="1:21" s="19" customFormat="1" ht="41.25" customHeight="1" x14ac:dyDescent="0.2">
      <c r="A17" s="38" t="s">
        <v>180</v>
      </c>
      <c r="B17" s="25" t="s">
        <v>177</v>
      </c>
      <c r="C17" s="25" t="s">
        <v>121</v>
      </c>
      <c r="D17" s="16" t="s">
        <v>178</v>
      </c>
      <c r="E17" s="50">
        <f t="shared" ref="E17:E24" si="2">F17+I17</f>
        <v>47471300</v>
      </c>
      <c r="F17" s="50">
        <f>43561300+2000000-50000+2000000-40000</f>
        <v>47471300</v>
      </c>
      <c r="G17" s="50">
        <f>31977500+2000000+1850000-64000</f>
        <v>35763500</v>
      </c>
      <c r="H17" s="65">
        <v>1049000</v>
      </c>
      <c r="I17" s="50"/>
      <c r="J17" s="50">
        <f>L17+O17</f>
        <v>568847</v>
      </c>
      <c r="K17" s="50">
        <v>568847</v>
      </c>
      <c r="L17" s="50"/>
      <c r="M17" s="50"/>
      <c r="N17" s="50"/>
      <c r="O17" s="50">
        <f>K17</f>
        <v>568847</v>
      </c>
      <c r="P17" s="66">
        <f t="shared" ref="P17:P40" si="3">E17+J17</f>
        <v>48040147</v>
      </c>
    </row>
    <row r="18" spans="1:21" s="19" customFormat="1" ht="25.5" hidden="1" x14ac:dyDescent="0.2">
      <c r="A18" s="38" t="s">
        <v>570</v>
      </c>
      <c r="B18" s="25" t="s">
        <v>571</v>
      </c>
      <c r="C18" s="25"/>
      <c r="D18" s="55" t="s">
        <v>574</v>
      </c>
      <c r="E18" s="50">
        <f t="shared" si="2"/>
        <v>3804827</v>
      </c>
      <c r="F18" s="50">
        <f>F19</f>
        <v>3804827</v>
      </c>
      <c r="G18" s="50">
        <f>G19</f>
        <v>1639254</v>
      </c>
      <c r="H18" s="50">
        <f>H19</f>
        <v>21000</v>
      </c>
      <c r="I18" s="50"/>
      <c r="J18" s="50">
        <f>L18+O18</f>
        <v>0</v>
      </c>
      <c r="K18" s="50"/>
      <c r="L18" s="50"/>
      <c r="M18" s="50"/>
      <c r="N18" s="50"/>
      <c r="O18" s="50"/>
      <c r="P18" s="66">
        <f t="shared" si="3"/>
        <v>3804827</v>
      </c>
    </row>
    <row r="19" spans="1:21" s="8" customFormat="1" x14ac:dyDescent="0.2">
      <c r="A19" s="37" t="s">
        <v>572</v>
      </c>
      <c r="B19" s="20" t="s">
        <v>573</v>
      </c>
      <c r="C19" s="20" t="s">
        <v>196</v>
      </c>
      <c r="D19" s="53" t="s">
        <v>575</v>
      </c>
      <c r="E19" s="50">
        <f t="shared" si="2"/>
        <v>3804827</v>
      </c>
      <c r="F19" s="47">
        <f>3791227+13600</f>
        <v>3804827</v>
      </c>
      <c r="G19" s="47">
        <f>1593091+46163</f>
        <v>1639254</v>
      </c>
      <c r="H19" s="43">
        <f>7500+13500</f>
        <v>21000</v>
      </c>
      <c r="I19" s="47"/>
      <c r="J19" s="50">
        <f>L19+O19</f>
        <v>0</v>
      </c>
      <c r="K19" s="47"/>
      <c r="L19" s="47"/>
      <c r="M19" s="47"/>
      <c r="N19" s="47"/>
      <c r="O19" s="47"/>
      <c r="P19" s="66">
        <f t="shared" si="3"/>
        <v>3804827</v>
      </c>
    </row>
    <row r="20" spans="1:21" hidden="1" x14ac:dyDescent="0.2">
      <c r="A20" s="38" t="s">
        <v>458</v>
      </c>
      <c r="B20" s="46" t="s">
        <v>430</v>
      </c>
      <c r="C20" s="46"/>
      <c r="D20" s="55" t="s">
        <v>17</v>
      </c>
      <c r="E20" s="50">
        <f t="shared" si="2"/>
        <v>0</v>
      </c>
      <c r="F20" s="67">
        <f t="shared" ref="F20:O20" si="4">SUM(F21)</f>
        <v>0</v>
      </c>
      <c r="G20" s="67">
        <f t="shared" si="4"/>
        <v>0</v>
      </c>
      <c r="H20" s="67">
        <f t="shared" si="4"/>
        <v>0</v>
      </c>
      <c r="I20" s="67">
        <f t="shared" si="4"/>
        <v>0</v>
      </c>
      <c r="J20" s="50">
        <f t="shared" ref="J20:J40" si="5">L20+O20</f>
        <v>0</v>
      </c>
      <c r="K20" s="67">
        <f>SUM(K21)</f>
        <v>0</v>
      </c>
      <c r="L20" s="67">
        <f t="shared" si="4"/>
        <v>0</v>
      </c>
      <c r="M20" s="67">
        <f t="shared" si="4"/>
        <v>0</v>
      </c>
      <c r="N20" s="67">
        <f t="shared" si="4"/>
        <v>0</v>
      </c>
      <c r="O20" s="67">
        <f t="shared" si="4"/>
        <v>0</v>
      </c>
      <c r="P20" s="66">
        <f t="shared" si="3"/>
        <v>0</v>
      </c>
      <c r="Q20" s="19"/>
      <c r="R20" s="19"/>
      <c r="S20" s="19"/>
      <c r="T20" s="19"/>
      <c r="U20" s="19"/>
    </row>
    <row r="21" spans="1:21" s="10" customFormat="1" ht="25.5" hidden="1" x14ac:dyDescent="0.2">
      <c r="A21" s="37" t="s">
        <v>459</v>
      </c>
      <c r="B21" s="21" t="s">
        <v>432</v>
      </c>
      <c r="C21" s="21" t="s">
        <v>123</v>
      </c>
      <c r="D21" s="68" t="s">
        <v>455</v>
      </c>
      <c r="E21" s="50">
        <f t="shared" si="2"/>
        <v>0</v>
      </c>
      <c r="F21" s="69"/>
      <c r="G21" s="69"/>
      <c r="H21" s="69"/>
      <c r="I21" s="69"/>
      <c r="J21" s="50">
        <f t="shared" si="5"/>
        <v>0</v>
      </c>
      <c r="K21" s="69"/>
      <c r="L21" s="69"/>
      <c r="M21" s="69"/>
      <c r="N21" s="69"/>
      <c r="O21" s="70">
        <f t="shared" ref="O21:O29" si="6">K21</f>
        <v>0</v>
      </c>
      <c r="P21" s="66">
        <f t="shared" si="3"/>
        <v>0</v>
      </c>
      <c r="Q21" s="138"/>
      <c r="R21" s="8"/>
      <c r="S21" s="8"/>
      <c r="T21" s="8"/>
      <c r="U21" s="8"/>
    </row>
    <row r="22" spans="1:21" hidden="1" x14ac:dyDescent="0.2">
      <c r="A22" s="38" t="s">
        <v>20</v>
      </c>
      <c r="B22" s="46" t="s">
        <v>27</v>
      </c>
      <c r="C22" s="46"/>
      <c r="D22" s="27" t="s">
        <v>19</v>
      </c>
      <c r="E22" s="50">
        <f t="shared" si="2"/>
        <v>0</v>
      </c>
      <c r="F22" s="71"/>
      <c r="G22" s="71">
        <f t="shared" ref="G22:N22" si="7">G23</f>
        <v>0</v>
      </c>
      <c r="H22" s="71">
        <f t="shared" si="7"/>
        <v>0</v>
      </c>
      <c r="I22" s="71">
        <f t="shared" si="7"/>
        <v>0</v>
      </c>
      <c r="J22" s="71">
        <f t="shared" si="7"/>
        <v>0</v>
      </c>
      <c r="K22" s="71">
        <f>K23</f>
        <v>0</v>
      </c>
      <c r="L22" s="71">
        <f t="shared" si="7"/>
        <v>0</v>
      </c>
      <c r="M22" s="71">
        <f t="shared" si="7"/>
        <v>0</v>
      </c>
      <c r="N22" s="71">
        <f t="shared" si="7"/>
        <v>0</v>
      </c>
      <c r="O22" s="70">
        <f t="shared" si="6"/>
        <v>0</v>
      </c>
      <c r="P22" s="66">
        <f t="shared" si="3"/>
        <v>0</v>
      </c>
      <c r="Q22" s="19"/>
      <c r="R22" s="19"/>
      <c r="S22" s="19"/>
      <c r="T22" s="19"/>
      <c r="U22" s="19"/>
    </row>
    <row r="23" spans="1:21" s="10" customFormat="1" hidden="1" x14ac:dyDescent="0.2">
      <c r="A23" s="37" t="s">
        <v>21</v>
      </c>
      <c r="B23" s="21" t="s">
        <v>28</v>
      </c>
      <c r="C23" s="21" t="s">
        <v>57</v>
      </c>
      <c r="D23" s="28" t="s">
        <v>22</v>
      </c>
      <c r="E23" s="50">
        <f t="shared" si="2"/>
        <v>0</v>
      </c>
      <c r="F23" s="69"/>
      <c r="G23" s="69"/>
      <c r="H23" s="69"/>
      <c r="I23" s="69"/>
      <c r="J23" s="50">
        <f t="shared" si="5"/>
        <v>0</v>
      </c>
      <c r="K23" s="69"/>
      <c r="L23" s="69"/>
      <c r="M23" s="69"/>
      <c r="N23" s="69"/>
      <c r="O23" s="70">
        <f t="shared" si="6"/>
        <v>0</v>
      </c>
      <c r="P23" s="66">
        <f t="shared" si="3"/>
        <v>0</v>
      </c>
      <c r="Q23" s="8"/>
      <c r="R23" s="8"/>
      <c r="S23" s="8"/>
      <c r="T23" s="8"/>
      <c r="U23" s="8"/>
    </row>
    <row r="24" spans="1:21" s="10" customFormat="1" ht="38.25" x14ac:dyDescent="0.2">
      <c r="A24" s="37"/>
      <c r="B24" s="21"/>
      <c r="C24" s="21"/>
      <c r="D24" s="28" t="s">
        <v>644</v>
      </c>
      <c r="E24" s="47">
        <f t="shared" si="2"/>
        <v>3554827</v>
      </c>
      <c r="F24" s="69">
        <f>3541227+13600</f>
        <v>3554827</v>
      </c>
      <c r="G24" s="69">
        <f>G19</f>
        <v>1639254</v>
      </c>
      <c r="H24" s="69">
        <f>H19</f>
        <v>21000</v>
      </c>
      <c r="I24" s="69"/>
      <c r="J24" s="50"/>
      <c r="K24" s="69"/>
      <c r="L24" s="69"/>
      <c r="M24" s="69"/>
      <c r="N24" s="69"/>
      <c r="O24" s="70"/>
      <c r="P24" s="80">
        <f t="shared" si="3"/>
        <v>3554827</v>
      </c>
      <c r="Q24" s="8"/>
      <c r="R24" s="8"/>
      <c r="S24" s="8"/>
      <c r="T24" s="8"/>
      <c r="U24" s="8"/>
    </row>
    <row r="25" spans="1:21" x14ac:dyDescent="0.2">
      <c r="A25" s="38" t="s">
        <v>182</v>
      </c>
      <c r="B25" s="72" t="s">
        <v>181</v>
      </c>
      <c r="C25" s="72" t="s">
        <v>5</v>
      </c>
      <c r="D25" s="55" t="s">
        <v>80</v>
      </c>
      <c r="E25" s="50">
        <f t="shared" ref="E25:E33" si="8">F25+I25</f>
        <v>390000</v>
      </c>
      <c r="F25" s="70">
        <f>540000-150000</f>
        <v>390000</v>
      </c>
      <c r="G25" s="70"/>
      <c r="H25" s="70"/>
      <c r="I25" s="70"/>
      <c r="J25" s="50">
        <f t="shared" si="5"/>
        <v>0</v>
      </c>
      <c r="K25" s="70"/>
      <c r="L25" s="70"/>
      <c r="M25" s="70"/>
      <c r="N25" s="70"/>
      <c r="O25" s="70">
        <f t="shared" si="6"/>
        <v>0</v>
      </c>
      <c r="P25" s="66">
        <f t="shared" si="3"/>
        <v>390000</v>
      </c>
      <c r="Q25" s="19"/>
      <c r="R25" s="19"/>
      <c r="S25" s="19"/>
      <c r="T25" s="19"/>
      <c r="U25" s="19"/>
    </row>
    <row r="26" spans="1:21" s="10" customFormat="1" hidden="1" x14ac:dyDescent="0.2">
      <c r="A26" s="37"/>
      <c r="B26" s="24"/>
      <c r="C26" s="24"/>
      <c r="D26" s="40" t="s">
        <v>510</v>
      </c>
      <c r="E26" s="47"/>
      <c r="F26" s="121"/>
      <c r="G26" s="121"/>
      <c r="H26" s="121"/>
      <c r="I26" s="121"/>
      <c r="J26" s="47"/>
      <c r="K26" s="121"/>
      <c r="L26" s="121"/>
      <c r="M26" s="121"/>
      <c r="N26" s="121"/>
      <c r="O26" s="121"/>
      <c r="P26" s="66">
        <f t="shared" si="3"/>
        <v>0</v>
      </c>
      <c r="Q26" s="8"/>
      <c r="R26" s="8"/>
      <c r="S26" s="8"/>
      <c r="T26" s="8"/>
      <c r="U26" s="8"/>
    </row>
    <row r="27" spans="1:21" x14ac:dyDescent="0.2">
      <c r="A27" s="38" t="s">
        <v>185</v>
      </c>
      <c r="B27" s="46" t="s">
        <v>184</v>
      </c>
      <c r="C27" s="46" t="s">
        <v>128</v>
      </c>
      <c r="D27" s="73" t="s">
        <v>82</v>
      </c>
      <c r="E27" s="50">
        <f t="shared" si="8"/>
        <v>500000</v>
      </c>
      <c r="F27" s="70">
        <v>500000</v>
      </c>
      <c r="G27" s="70"/>
      <c r="H27" s="70"/>
      <c r="I27" s="70"/>
      <c r="J27" s="50">
        <f t="shared" si="5"/>
        <v>0</v>
      </c>
      <c r="K27" s="70"/>
      <c r="L27" s="70"/>
      <c r="M27" s="70"/>
      <c r="N27" s="70"/>
      <c r="O27" s="70">
        <f t="shared" si="6"/>
        <v>0</v>
      </c>
      <c r="P27" s="66">
        <f t="shared" si="3"/>
        <v>500000</v>
      </c>
      <c r="Q27" s="19"/>
      <c r="R27" s="19"/>
      <c r="S27" s="19"/>
      <c r="T27" s="19"/>
      <c r="U27" s="19"/>
    </row>
    <row r="28" spans="1:21" hidden="1" x14ac:dyDescent="0.2">
      <c r="A28" s="38" t="s">
        <v>516</v>
      </c>
      <c r="B28" s="46" t="s">
        <v>183</v>
      </c>
      <c r="C28" s="74" t="s">
        <v>127</v>
      </c>
      <c r="D28" s="75" t="s">
        <v>517</v>
      </c>
      <c r="E28" s="50">
        <f>F28+I28</f>
        <v>0</v>
      </c>
      <c r="F28" s="70"/>
      <c r="G28" s="70"/>
      <c r="H28" s="70"/>
      <c r="I28" s="70"/>
      <c r="J28" s="50">
        <f>L28+O28</f>
        <v>0</v>
      </c>
      <c r="K28" s="70"/>
      <c r="L28" s="70"/>
      <c r="M28" s="70"/>
      <c r="N28" s="70"/>
      <c r="O28" s="70">
        <f t="shared" si="6"/>
        <v>0</v>
      </c>
      <c r="P28" s="66">
        <f t="shared" si="3"/>
        <v>0</v>
      </c>
      <c r="Q28" s="19"/>
      <c r="R28" s="19"/>
      <c r="S28" s="19"/>
      <c r="T28" s="19"/>
      <c r="U28" s="19"/>
    </row>
    <row r="29" spans="1:21" ht="13.5" customHeight="1" x14ac:dyDescent="0.2">
      <c r="A29" s="38" t="s">
        <v>399</v>
      </c>
      <c r="B29" s="46" t="s">
        <v>398</v>
      </c>
      <c r="C29" s="46" t="s">
        <v>127</v>
      </c>
      <c r="D29" s="75" t="s">
        <v>400</v>
      </c>
      <c r="E29" s="50">
        <f>F29+I29</f>
        <v>108000</v>
      </c>
      <c r="F29" s="70">
        <v>108000</v>
      </c>
      <c r="G29" s="70"/>
      <c r="H29" s="70"/>
      <c r="I29" s="70"/>
      <c r="J29" s="50">
        <f>L29+O29</f>
        <v>0</v>
      </c>
      <c r="K29" s="70"/>
      <c r="L29" s="70"/>
      <c r="M29" s="70"/>
      <c r="N29" s="70"/>
      <c r="O29" s="70">
        <f t="shared" si="6"/>
        <v>0</v>
      </c>
      <c r="P29" s="66">
        <f t="shared" si="3"/>
        <v>108000</v>
      </c>
      <c r="Q29" s="19"/>
      <c r="R29" s="19"/>
      <c r="S29" s="19"/>
      <c r="T29" s="19"/>
      <c r="U29" s="19"/>
    </row>
    <row r="30" spans="1:21" ht="10.5" hidden="1" customHeight="1" x14ac:dyDescent="0.2">
      <c r="A30" s="38" t="s">
        <v>189</v>
      </c>
      <c r="B30" s="46" t="s">
        <v>188</v>
      </c>
      <c r="C30" s="46"/>
      <c r="D30" s="75" t="s">
        <v>190</v>
      </c>
      <c r="E30" s="50">
        <f t="shared" si="8"/>
        <v>4097100</v>
      </c>
      <c r="F30" s="71">
        <f>F31+F32</f>
        <v>4097100</v>
      </c>
      <c r="G30" s="71">
        <f>G31+G32</f>
        <v>0</v>
      </c>
      <c r="H30" s="71">
        <f>H31+H32</f>
        <v>0</v>
      </c>
      <c r="I30" s="71">
        <f>I31+I32</f>
        <v>0</v>
      </c>
      <c r="J30" s="50">
        <f t="shared" si="5"/>
        <v>1900000</v>
      </c>
      <c r="K30" s="71">
        <f>K31+K32</f>
        <v>500000</v>
      </c>
      <c r="L30" s="71">
        <f>L31+L32</f>
        <v>1100000</v>
      </c>
      <c r="M30" s="71">
        <f>M31+M32</f>
        <v>0</v>
      </c>
      <c r="N30" s="71">
        <f>N31+N32</f>
        <v>0</v>
      </c>
      <c r="O30" s="71">
        <f>O31+O32</f>
        <v>800000</v>
      </c>
      <c r="P30" s="66">
        <f t="shared" si="3"/>
        <v>5997100</v>
      </c>
      <c r="Q30" s="19"/>
      <c r="R30" s="19"/>
      <c r="S30" s="19"/>
      <c r="T30" s="19"/>
      <c r="U30" s="19"/>
    </row>
    <row r="31" spans="1:21" s="10" customFormat="1" ht="63.75" x14ac:dyDescent="0.2">
      <c r="A31" s="37" t="s">
        <v>411</v>
      </c>
      <c r="B31" s="21" t="s">
        <v>410</v>
      </c>
      <c r="C31" s="21" t="s">
        <v>127</v>
      </c>
      <c r="D31" s="23" t="s">
        <v>450</v>
      </c>
      <c r="E31" s="47">
        <f t="shared" si="8"/>
        <v>0</v>
      </c>
      <c r="F31" s="69"/>
      <c r="G31" s="69"/>
      <c r="H31" s="69"/>
      <c r="I31" s="69"/>
      <c r="J31" s="47">
        <f t="shared" si="5"/>
        <v>1400000</v>
      </c>
      <c r="K31" s="69"/>
      <c r="L31" s="69">
        <v>1100000</v>
      </c>
      <c r="M31" s="69"/>
      <c r="N31" s="69"/>
      <c r="O31" s="69">
        <v>300000</v>
      </c>
      <c r="P31" s="66">
        <f t="shared" si="3"/>
        <v>1400000</v>
      </c>
      <c r="Q31" s="8"/>
      <c r="R31" s="8"/>
      <c r="S31" s="8"/>
      <c r="T31" s="8"/>
      <c r="U31" s="8"/>
    </row>
    <row r="32" spans="1:21" s="10" customFormat="1" x14ac:dyDescent="0.2">
      <c r="A32" s="37" t="s">
        <v>191</v>
      </c>
      <c r="B32" s="21" t="s">
        <v>192</v>
      </c>
      <c r="C32" s="21" t="s">
        <v>127</v>
      </c>
      <c r="D32" s="23" t="s">
        <v>193</v>
      </c>
      <c r="E32" s="47">
        <f t="shared" si="8"/>
        <v>4097100</v>
      </c>
      <c r="F32" s="69">
        <f>4057100+40000</f>
        <v>4097100</v>
      </c>
      <c r="G32" s="69"/>
      <c r="H32" s="69"/>
      <c r="I32" s="69"/>
      <c r="J32" s="47">
        <f t="shared" si="5"/>
        <v>500000</v>
      </c>
      <c r="K32" s="69">
        <f>85000+415000</f>
        <v>500000</v>
      </c>
      <c r="L32" s="69"/>
      <c r="M32" s="69"/>
      <c r="N32" s="69"/>
      <c r="O32" s="69">
        <f>K32</f>
        <v>500000</v>
      </c>
      <c r="P32" s="66">
        <f t="shared" si="3"/>
        <v>4597100</v>
      </c>
      <c r="Q32" s="8"/>
      <c r="R32" s="8"/>
      <c r="S32" s="8"/>
      <c r="T32" s="8"/>
      <c r="U32" s="8"/>
    </row>
    <row r="33" spans="1:21" hidden="1" x14ac:dyDescent="0.2">
      <c r="A33" s="38" t="s">
        <v>85</v>
      </c>
      <c r="B33" s="72" t="s">
        <v>29</v>
      </c>
      <c r="C33" s="72" t="s">
        <v>134</v>
      </c>
      <c r="D33" s="76" t="s">
        <v>135</v>
      </c>
      <c r="E33" s="50">
        <f t="shared" si="8"/>
        <v>0</v>
      </c>
      <c r="F33" s="71"/>
      <c r="G33" s="71"/>
      <c r="H33" s="71"/>
      <c r="I33" s="71"/>
      <c r="J33" s="50">
        <f t="shared" si="5"/>
        <v>0</v>
      </c>
      <c r="K33" s="71"/>
      <c r="L33" s="71"/>
      <c r="M33" s="71"/>
      <c r="N33" s="71"/>
      <c r="O33" s="70">
        <f>K33</f>
        <v>0</v>
      </c>
      <c r="P33" s="66">
        <f t="shared" si="3"/>
        <v>0</v>
      </c>
      <c r="Q33" s="19"/>
      <c r="R33" s="19"/>
      <c r="S33" s="19"/>
      <c r="T33" s="19"/>
      <c r="U33" s="19"/>
    </row>
    <row r="34" spans="1:21" ht="26.25" customHeight="1" x14ac:dyDescent="0.2">
      <c r="A34" s="38" t="s">
        <v>187</v>
      </c>
      <c r="B34" s="46" t="s">
        <v>186</v>
      </c>
      <c r="C34" s="46" t="s">
        <v>130</v>
      </c>
      <c r="D34" s="76" t="s">
        <v>412</v>
      </c>
      <c r="E34" s="50">
        <f>F34+I34</f>
        <v>68500</v>
      </c>
      <c r="F34" s="67">
        <v>68500</v>
      </c>
      <c r="G34" s="67"/>
      <c r="H34" s="67"/>
      <c r="I34" s="67"/>
      <c r="J34" s="50">
        <f t="shared" si="5"/>
        <v>54000</v>
      </c>
      <c r="K34" s="67">
        <v>54000</v>
      </c>
      <c r="L34" s="67"/>
      <c r="M34" s="67"/>
      <c r="N34" s="67"/>
      <c r="O34" s="70">
        <f>K34</f>
        <v>54000</v>
      </c>
      <c r="P34" s="66">
        <f t="shared" si="3"/>
        <v>122500</v>
      </c>
      <c r="Q34" s="19"/>
      <c r="R34" s="19"/>
      <c r="S34" s="19"/>
      <c r="T34" s="19"/>
      <c r="U34" s="19"/>
    </row>
    <row r="35" spans="1:21" ht="25.5" hidden="1" x14ac:dyDescent="0.2">
      <c r="A35" s="38" t="s">
        <v>81</v>
      </c>
      <c r="B35" s="46" t="s">
        <v>64</v>
      </c>
      <c r="C35" s="46" t="s">
        <v>131</v>
      </c>
      <c r="D35" s="76" t="s">
        <v>132</v>
      </c>
      <c r="E35" s="50">
        <f>F35+I35</f>
        <v>0</v>
      </c>
      <c r="F35" s="77"/>
      <c r="G35" s="77"/>
      <c r="H35" s="77"/>
      <c r="I35" s="77"/>
      <c r="J35" s="50">
        <f t="shared" si="5"/>
        <v>0</v>
      </c>
      <c r="K35" s="77"/>
      <c r="L35" s="77"/>
      <c r="M35" s="77"/>
      <c r="N35" s="77"/>
      <c r="O35" s="70">
        <f>K35</f>
        <v>0</v>
      </c>
      <c r="P35" s="66">
        <f t="shared" si="3"/>
        <v>0</v>
      </c>
      <c r="Q35" s="19"/>
      <c r="R35" s="19"/>
      <c r="S35" s="19"/>
      <c r="T35" s="19"/>
      <c r="U35" s="19"/>
    </row>
    <row r="36" spans="1:21" hidden="1" x14ac:dyDescent="0.2">
      <c r="A36" s="38" t="s">
        <v>496</v>
      </c>
      <c r="B36" s="46" t="s">
        <v>497</v>
      </c>
      <c r="C36" s="46"/>
      <c r="D36" s="76" t="s">
        <v>500</v>
      </c>
      <c r="E36" s="50"/>
      <c r="F36" s="77"/>
      <c r="G36" s="77"/>
      <c r="H36" s="77"/>
      <c r="I36" s="77"/>
      <c r="J36" s="50">
        <f t="shared" si="5"/>
        <v>165000</v>
      </c>
      <c r="K36" s="77"/>
      <c r="L36" s="67">
        <f>L37</f>
        <v>0</v>
      </c>
      <c r="M36" s="67">
        <f>M37</f>
        <v>0</v>
      </c>
      <c r="N36" s="67">
        <f>N37</f>
        <v>0</v>
      </c>
      <c r="O36" s="67">
        <f>O37</f>
        <v>165000</v>
      </c>
      <c r="P36" s="66">
        <f t="shared" si="3"/>
        <v>165000</v>
      </c>
      <c r="Q36" s="19"/>
      <c r="R36" s="19"/>
      <c r="S36" s="19"/>
      <c r="T36" s="19"/>
      <c r="U36" s="19"/>
    </row>
    <row r="37" spans="1:21" s="10" customFormat="1" x14ac:dyDescent="0.2">
      <c r="A37" s="37" t="s">
        <v>498</v>
      </c>
      <c r="B37" s="21" t="s">
        <v>499</v>
      </c>
      <c r="C37" s="21" t="s">
        <v>129</v>
      </c>
      <c r="D37" s="78" t="s">
        <v>133</v>
      </c>
      <c r="E37" s="47"/>
      <c r="F37" s="79"/>
      <c r="G37" s="79"/>
      <c r="H37" s="79"/>
      <c r="I37" s="79"/>
      <c r="J37" s="50">
        <f t="shared" si="5"/>
        <v>165000</v>
      </c>
      <c r="K37" s="79"/>
      <c r="L37" s="49"/>
      <c r="M37" s="49"/>
      <c r="N37" s="49"/>
      <c r="O37" s="70">
        <v>165000</v>
      </c>
      <c r="P37" s="80">
        <f t="shared" si="3"/>
        <v>165000</v>
      </c>
      <c r="Q37" s="8"/>
      <c r="R37" s="8"/>
      <c r="S37" s="8"/>
      <c r="T37" s="8"/>
      <c r="U37" s="8"/>
    </row>
    <row r="38" spans="1:21" x14ac:dyDescent="0.2">
      <c r="A38" s="38" t="s">
        <v>501</v>
      </c>
      <c r="B38" s="46" t="s">
        <v>502</v>
      </c>
      <c r="C38" s="46" t="s">
        <v>373</v>
      </c>
      <c r="D38" s="27" t="s">
        <v>503</v>
      </c>
      <c r="E38" s="50">
        <f>F38+I38</f>
        <v>0</v>
      </c>
      <c r="F38" s="71">
        <f>F39</f>
        <v>0</v>
      </c>
      <c r="G38" s="71">
        <f>G39</f>
        <v>0</v>
      </c>
      <c r="H38" s="71">
        <f>H39</f>
        <v>0</v>
      </c>
      <c r="I38" s="71">
        <f>I39</f>
        <v>0</v>
      </c>
      <c r="J38" s="50">
        <f t="shared" si="5"/>
        <v>50000</v>
      </c>
      <c r="K38" s="71">
        <f>K39</f>
        <v>0</v>
      </c>
      <c r="L38" s="71">
        <v>50000</v>
      </c>
      <c r="M38" s="71">
        <f>M39</f>
        <v>0</v>
      </c>
      <c r="N38" s="71">
        <f>N39</f>
        <v>0</v>
      </c>
      <c r="O38" s="71"/>
      <c r="P38" s="66">
        <f t="shared" si="3"/>
        <v>50000</v>
      </c>
      <c r="Q38" s="19"/>
      <c r="R38" s="19"/>
      <c r="S38" s="19"/>
      <c r="T38" s="19"/>
      <c r="U38" s="19"/>
    </row>
    <row r="39" spans="1:21" hidden="1" x14ac:dyDescent="0.2">
      <c r="A39" s="81"/>
      <c r="B39" s="21"/>
      <c r="C39" s="21"/>
      <c r="D39" s="68" t="s">
        <v>133</v>
      </c>
      <c r="E39" s="50">
        <f>F39+I39</f>
        <v>0</v>
      </c>
      <c r="F39" s="69"/>
      <c r="G39" s="69"/>
      <c r="H39" s="69"/>
      <c r="I39" s="69"/>
      <c r="J39" s="50">
        <f t="shared" si="5"/>
        <v>800000</v>
      </c>
      <c r="K39" s="69"/>
      <c r="L39" s="69"/>
      <c r="M39" s="69"/>
      <c r="N39" s="69"/>
      <c r="O39" s="71">
        <f>O30</f>
        <v>800000</v>
      </c>
      <c r="P39" s="66">
        <f t="shared" si="3"/>
        <v>800000</v>
      </c>
      <c r="Q39" s="19"/>
      <c r="R39" s="19"/>
      <c r="S39" s="19"/>
      <c r="T39" s="19"/>
      <c r="U39" s="19"/>
    </row>
    <row r="40" spans="1:21" x14ac:dyDescent="0.2">
      <c r="A40" s="38" t="s">
        <v>449</v>
      </c>
      <c r="B40" s="46" t="s">
        <v>409</v>
      </c>
      <c r="C40" s="46" t="s">
        <v>125</v>
      </c>
      <c r="D40" s="82" t="s">
        <v>408</v>
      </c>
      <c r="E40" s="50">
        <f>F40+I40</f>
        <v>400000</v>
      </c>
      <c r="F40" s="71">
        <v>400000</v>
      </c>
      <c r="G40" s="71"/>
      <c r="H40" s="71"/>
      <c r="I40" s="71"/>
      <c r="J40" s="50">
        <f t="shared" si="5"/>
        <v>0</v>
      </c>
      <c r="K40" s="71"/>
      <c r="L40" s="71"/>
      <c r="M40" s="71"/>
      <c r="N40" s="71"/>
      <c r="O40" s="70">
        <f>K40</f>
        <v>0</v>
      </c>
      <c r="P40" s="66">
        <f t="shared" si="3"/>
        <v>400000</v>
      </c>
      <c r="Q40" s="19"/>
      <c r="R40" s="19"/>
      <c r="S40" s="19"/>
      <c r="T40" s="19"/>
      <c r="U40" s="19"/>
    </row>
    <row r="41" spans="1:21" x14ac:dyDescent="0.2">
      <c r="A41" s="39" t="s">
        <v>173</v>
      </c>
      <c r="B41" s="60"/>
      <c r="C41" s="61"/>
      <c r="D41" s="148" t="s">
        <v>136</v>
      </c>
      <c r="E41" s="77">
        <f>E50</f>
        <v>453904162</v>
      </c>
      <c r="F41" s="77">
        <f t="shared" ref="F41:P41" si="9">F50</f>
        <v>453904162</v>
      </c>
      <c r="G41" s="77">
        <f t="shared" si="9"/>
        <v>323008318</v>
      </c>
      <c r="H41" s="77">
        <f t="shared" si="9"/>
        <v>33139800</v>
      </c>
      <c r="I41" s="77"/>
      <c r="J41" s="77">
        <f t="shared" si="9"/>
        <v>40096773</v>
      </c>
      <c r="K41" s="77">
        <f>K50</f>
        <v>17740497</v>
      </c>
      <c r="L41" s="77">
        <f t="shared" si="9"/>
        <v>22074216</v>
      </c>
      <c r="M41" s="77">
        <f t="shared" si="9"/>
        <v>1688270</v>
      </c>
      <c r="N41" s="77">
        <f t="shared" si="9"/>
        <v>284016</v>
      </c>
      <c r="O41" s="77">
        <f t="shared" si="9"/>
        <v>18022557</v>
      </c>
      <c r="P41" s="77">
        <f t="shared" si="9"/>
        <v>494000935</v>
      </c>
      <c r="Q41" s="140"/>
      <c r="R41" s="129"/>
      <c r="S41" s="19"/>
      <c r="T41" s="19"/>
      <c r="U41" s="19"/>
    </row>
    <row r="42" spans="1:21" s="10" customFormat="1" x14ac:dyDescent="0.2">
      <c r="A42" s="37"/>
      <c r="B42" s="48"/>
      <c r="C42" s="21"/>
      <c r="D42" s="40" t="s">
        <v>86</v>
      </c>
      <c r="E42" s="47">
        <f>F42</f>
        <v>203930600</v>
      </c>
      <c r="F42" s="49">
        <f>F58+F66+F76+F80</f>
        <v>203930600</v>
      </c>
      <c r="G42" s="49">
        <f>G58+G66+G76+G80</f>
        <v>167156279</v>
      </c>
      <c r="H42" s="49">
        <f>H58+H66+H76</f>
        <v>0</v>
      </c>
      <c r="I42" s="49"/>
      <c r="J42" s="47">
        <f>L42+O42</f>
        <v>0</v>
      </c>
      <c r="K42" s="49">
        <v>0</v>
      </c>
      <c r="L42" s="49">
        <f>SUM(L58+L63+L66)</f>
        <v>0</v>
      </c>
      <c r="M42" s="49">
        <f>SUM(M58+M63+M66)</f>
        <v>0</v>
      </c>
      <c r="N42" s="49">
        <f>SUM(N58+N63+N66)</f>
        <v>0</v>
      </c>
      <c r="O42" s="49">
        <v>0</v>
      </c>
      <c r="P42" s="66">
        <f t="shared" ref="P42:P49" si="10">E42+J42</f>
        <v>203930600</v>
      </c>
      <c r="Q42" s="8"/>
      <c r="R42" s="8"/>
      <c r="S42" s="8"/>
      <c r="T42" s="8"/>
      <c r="U42" s="8"/>
    </row>
    <row r="43" spans="1:21" s="10" customFormat="1" ht="25.5" x14ac:dyDescent="0.2">
      <c r="A43" s="37"/>
      <c r="B43" s="48"/>
      <c r="C43" s="21"/>
      <c r="D43" s="40" t="s">
        <v>494</v>
      </c>
      <c r="E43" s="47">
        <f>F43</f>
        <v>1000000</v>
      </c>
      <c r="F43" s="49">
        <f>F63</f>
        <v>1000000</v>
      </c>
      <c r="G43" s="49">
        <f>G63</f>
        <v>0</v>
      </c>
      <c r="H43" s="49"/>
      <c r="I43" s="49"/>
      <c r="J43" s="47">
        <f>L43+O43</f>
        <v>2173400</v>
      </c>
      <c r="K43" s="49">
        <f>K63</f>
        <v>2173400</v>
      </c>
      <c r="L43" s="49">
        <f>L63</f>
        <v>0</v>
      </c>
      <c r="M43" s="49">
        <f>M63</f>
        <v>0</v>
      </c>
      <c r="N43" s="49">
        <f>N63</f>
        <v>0</v>
      </c>
      <c r="O43" s="49">
        <f>K43</f>
        <v>2173400</v>
      </c>
      <c r="P43" s="66">
        <f t="shared" si="10"/>
        <v>3173400</v>
      </c>
      <c r="Q43" s="8"/>
      <c r="R43" s="8"/>
      <c r="S43" s="8"/>
      <c r="T43" s="8"/>
      <c r="U43" s="8"/>
    </row>
    <row r="44" spans="1:21" s="10" customFormat="1" x14ac:dyDescent="0.2">
      <c r="A44" s="37"/>
      <c r="B44" s="48"/>
      <c r="C44" s="21"/>
      <c r="D44" s="40" t="s">
        <v>510</v>
      </c>
      <c r="E44" s="47">
        <f>F44+I44</f>
        <v>0</v>
      </c>
      <c r="F44" s="49">
        <f>F82+F57+F55+F70</f>
        <v>0</v>
      </c>
      <c r="G44" s="49"/>
      <c r="H44" s="49"/>
      <c r="I44" s="49"/>
      <c r="J44" s="47">
        <f>L44+O44</f>
        <v>1938907</v>
      </c>
      <c r="K44" s="49">
        <f>K64+K55+K57+K70</f>
        <v>1938907</v>
      </c>
      <c r="L44" s="49"/>
      <c r="M44" s="49"/>
      <c r="N44" s="49"/>
      <c r="O44" s="49">
        <f>K44</f>
        <v>1938907</v>
      </c>
      <c r="P44" s="66">
        <f t="shared" si="10"/>
        <v>1938907</v>
      </c>
      <c r="Q44" s="8"/>
      <c r="R44" s="8"/>
      <c r="S44" s="8"/>
      <c r="T44" s="8"/>
      <c r="U44" s="8"/>
    </row>
    <row r="45" spans="1:21" s="10" customFormat="1" ht="25.5" x14ac:dyDescent="0.2">
      <c r="A45" s="37"/>
      <c r="B45" s="24"/>
      <c r="C45" s="24"/>
      <c r="D45" s="41" t="s">
        <v>507</v>
      </c>
      <c r="E45" s="47">
        <f>F45+I45</f>
        <v>0</v>
      </c>
      <c r="F45" s="83">
        <f>F64</f>
        <v>0</v>
      </c>
      <c r="G45" s="83"/>
      <c r="H45" s="83"/>
      <c r="I45" s="83"/>
      <c r="J45" s="47"/>
      <c r="K45" s="83"/>
      <c r="L45" s="83"/>
      <c r="M45" s="83"/>
      <c r="N45" s="83"/>
      <c r="O45" s="83"/>
      <c r="P45" s="66">
        <f t="shared" si="10"/>
        <v>0</v>
      </c>
      <c r="Q45" s="8"/>
      <c r="R45" s="8"/>
      <c r="S45" s="8"/>
      <c r="T45" s="8"/>
      <c r="U45" s="8"/>
    </row>
    <row r="46" spans="1:21" s="10" customFormat="1" ht="25.5" x14ac:dyDescent="0.2">
      <c r="A46" s="37"/>
      <c r="B46" s="24"/>
      <c r="C46" s="24"/>
      <c r="D46" s="41" t="s">
        <v>592</v>
      </c>
      <c r="E46" s="47">
        <f>F46</f>
        <v>3075849</v>
      </c>
      <c r="F46" s="83">
        <f>F81</f>
        <v>3075849</v>
      </c>
      <c r="G46" s="83"/>
      <c r="H46" s="83"/>
      <c r="I46" s="83"/>
      <c r="J46" s="47"/>
      <c r="K46" s="83"/>
      <c r="L46" s="83"/>
      <c r="M46" s="83"/>
      <c r="N46" s="83"/>
      <c r="O46" s="83"/>
      <c r="P46" s="66">
        <f t="shared" si="10"/>
        <v>3075849</v>
      </c>
      <c r="Q46" s="8"/>
      <c r="R46" s="8"/>
      <c r="S46" s="8"/>
      <c r="T46" s="8"/>
      <c r="U46" s="8"/>
    </row>
    <row r="47" spans="1:21" s="10" customFormat="1" ht="38.25" x14ac:dyDescent="0.2">
      <c r="A47" s="37"/>
      <c r="B47" s="24"/>
      <c r="C47" s="24"/>
      <c r="D47" s="41" t="s">
        <v>635</v>
      </c>
      <c r="E47" s="47">
        <f>F47</f>
        <v>72581</v>
      </c>
      <c r="F47" s="47">
        <f>F54</f>
        <v>72581</v>
      </c>
      <c r="G47" s="47">
        <f>G61</f>
        <v>0</v>
      </c>
      <c r="H47" s="47">
        <f>H61</f>
        <v>0</v>
      </c>
      <c r="I47" s="47">
        <f>I61</f>
        <v>0</v>
      </c>
      <c r="J47" s="47">
        <f>L47+O47</f>
        <v>0</v>
      </c>
      <c r="K47" s="83">
        <f>K61</f>
        <v>0</v>
      </c>
      <c r="L47" s="83"/>
      <c r="M47" s="83"/>
      <c r="N47" s="83"/>
      <c r="O47" s="83">
        <f>O61</f>
        <v>0</v>
      </c>
      <c r="P47" s="66">
        <f t="shared" si="10"/>
        <v>72581</v>
      </c>
      <c r="Q47" s="8"/>
      <c r="R47" s="8"/>
      <c r="S47" s="8"/>
      <c r="T47" s="8"/>
      <c r="U47" s="8"/>
    </row>
    <row r="48" spans="1:21" s="10" customFormat="1" ht="38.25" x14ac:dyDescent="0.2">
      <c r="A48" s="37"/>
      <c r="B48" s="48"/>
      <c r="C48" s="21"/>
      <c r="D48" s="40" t="s">
        <v>527</v>
      </c>
      <c r="E48" s="47">
        <f>E68+E77+E53</f>
        <v>1181865</v>
      </c>
      <c r="F48" s="47">
        <f>F68+F77+F53</f>
        <v>1181865</v>
      </c>
      <c r="G48" s="47">
        <f>G68+G77+G53</f>
        <v>893209</v>
      </c>
      <c r="H48" s="47">
        <f>H68+H77</f>
        <v>0</v>
      </c>
      <c r="I48" s="47">
        <f>I68+I77</f>
        <v>0</v>
      </c>
      <c r="J48" s="47">
        <f t="shared" ref="J48:O48" si="11">J68+J77+J53</f>
        <v>502305</v>
      </c>
      <c r="K48" s="47">
        <f t="shared" si="11"/>
        <v>502305</v>
      </c>
      <c r="L48" s="47">
        <f t="shared" si="11"/>
        <v>0</v>
      </c>
      <c r="M48" s="47">
        <f t="shared" si="11"/>
        <v>0</v>
      </c>
      <c r="N48" s="47">
        <f t="shared" si="11"/>
        <v>0</v>
      </c>
      <c r="O48" s="47">
        <f t="shared" si="11"/>
        <v>502305</v>
      </c>
      <c r="P48" s="66">
        <f t="shared" si="10"/>
        <v>1684170</v>
      </c>
      <c r="Q48" s="8"/>
      <c r="R48" s="8"/>
      <c r="S48" s="8"/>
      <c r="T48" s="8"/>
      <c r="U48" s="8"/>
    </row>
    <row r="49" spans="1:21" s="10" customFormat="1" ht="38.25" x14ac:dyDescent="0.2">
      <c r="A49" s="37"/>
      <c r="B49" s="48"/>
      <c r="C49" s="21"/>
      <c r="D49" s="40" t="s">
        <v>538</v>
      </c>
      <c r="E49" s="47"/>
      <c r="F49" s="47">
        <f>F62</f>
        <v>1982477</v>
      </c>
      <c r="G49" s="47">
        <f t="shared" ref="G49:N49" si="12">G57</f>
        <v>0</v>
      </c>
      <c r="H49" s="47">
        <f t="shared" si="12"/>
        <v>0</v>
      </c>
      <c r="I49" s="47">
        <f t="shared" si="12"/>
        <v>0</v>
      </c>
      <c r="J49" s="47">
        <f>K49</f>
        <v>2657975</v>
      </c>
      <c r="K49" s="47">
        <f>K62+K54</f>
        <v>2657975</v>
      </c>
      <c r="L49" s="47">
        <f t="shared" si="12"/>
        <v>0</v>
      </c>
      <c r="M49" s="47">
        <f t="shared" si="12"/>
        <v>0</v>
      </c>
      <c r="N49" s="47">
        <f t="shared" si="12"/>
        <v>0</v>
      </c>
      <c r="O49" s="47">
        <f>K49</f>
        <v>2657975</v>
      </c>
      <c r="P49" s="66">
        <f t="shared" si="10"/>
        <v>2657975</v>
      </c>
      <c r="Q49" s="8"/>
      <c r="R49" s="8"/>
      <c r="S49" s="8"/>
      <c r="T49" s="8"/>
      <c r="U49" s="8"/>
    </row>
    <row r="50" spans="1:21" x14ac:dyDescent="0.2">
      <c r="A50" s="38" t="s">
        <v>194</v>
      </c>
      <c r="B50" s="74"/>
      <c r="C50" s="61"/>
      <c r="D50" s="57" t="s">
        <v>136</v>
      </c>
      <c r="E50" s="77">
        <f>E51+E52+E56+E60+E65+E69+E71+E72+E73+E74+E79+E78+E75</f>
        <v>453904162</v>
      </c>
      <c r="F50" s="77">
        <f>F51+F52+F56+F60+F65+F69+F71+F72+F73+F74+F79+F78+F75</f>
        <v>453904162</v>
      </c>
      <c r="G50" s="77">
        <f>G51+G52+G56+G60+G65+G69+G71+G72+G73+G74+G79+G78+G75</f>
        <v>323008318</v>
      </c>
      <c r="H50" s="77">
        <f>H51+H52+H56+H60+H65+H69+H71+H72+H73+H74+H79+H78+H75</f>
        <v>33139800</v>
      </c>
      <c r="I50" s="77">
        <f>I51+I52+I56+I60+I65+I69+I71+I72+I73+I74+I79+I78+I75</f>
        <v>0</v>
      </c>
      <c r="J50" s="77">
        <f t="shared" ref="J50:O50" si="13">J51+J52+J56+J60+J65+J69+J71+J72+J73+J74+J79+J83</f>
        <v>40096773</v>
      </c>
      <c r="K50" s="77">
        <f t="shared" si="13"/>
        <v>17740497</v>
      </c>
      <c r="L50" s="77">
        <f t="shared" si="13"/>
        <v>22074216</v>
      </c>
      <c r="M50" s="77">
        <f t="shared" si="13"/>
        <v>1688270</v>
      </c>
      <c r="N50" s="77">
        <f t="shared" si="13"/>
        <v>284016</v>
      </c>
      <c r="O50" s="77">
        <f t="shared" si="13"/>
        <v>18022557</v>
      </c>
      <c r="P50" s="77">
        <f>P51+P52+P56+P60+P65+P69+P71+P72+P73+P79+P75+P78+P83</f>
        <v>494000935</v>
      </c>
      <c r="Q50" s="19"/>
      <c r="R50" s="19"/>
      <c r="S50" s="19"/>
      <c r="T50" s="19"/>
      <c r="U50" s="19"/>
    </row>
    <row r="51" spans="1:21" s="19" customFormat="1" ht="25.5" x14ac:dyDescent="0.2">
      <c r="A51" s="38" t="s">
        <v>197</v>
      </c>
      <c r="B51" s="25" t="s">
        <v>196</v>
      </c>
      <c r="C51" s="25" t="s">
        <v>121</v>
      </c>
      <c r="D51" s="76" t="s">
        <v>195</v>
      </c>
      <c r="E51" s="50">
        <f t="shared" ref="E51:E82" si="14">F51+I51</f>
        <v>1952000</v>
      </c>
      <c r="F51" s="51">
        <f>1852900-600900+700000</f>
        <v>1952000</v>
      </c>
      <c r="G51" s="51">
        <v>1553600</v>
      </c>
      <c r="H51" s="51"/>
      <c r="I51" s="51"/>
      <c r="J51" s="50">
        <f t="shared" ref="J51:J83" si="15">L51+O51</f>
        <v>6400</v>
      </c>
      <c r="K51" s="51">
        <v>6400</v>
      </c>
      <c r="L51" s="51"/>
      <c r="M51" s="51"/>
      <c r="N51" s="51"/>
      <c r="O51" s="51">
        <f>K51</f>
        <v>6400</v>
      </c>
      <c r="P51" s="66">
        <f t="shared" ref="P51:P111" si="16">E51+J51</f>
        <v>1958400</v>
      </c>
    </row>
    <row r="52" spans="1:21" x14ac:dyDescent="0.2">
      <c r="A52" s="38" t="s">
        <v>199</v>
      </c>
      <c r="B52" s="72" t="s">
        <v>60</v>
      </c>
      <c r="C52" s="72" t="s">
        <v>137</v>
      </c>
      <c r="D52" s="55" t="s">
        <v>198</v>
      </c>
      <c r="E52" s="50">
        <f t="shared" si="14"/>
        <v>148476170</v>
      </c>
      <c r="F52" s="51">
        <f>147926170-280000+1400000-78500-491500</f>
        <v>148476170</v>
      </c>
      <c r="G52" s="51">
        <f>114021340-12500000-1600000-78500</f>
        <v>99842840</v>
      </c>
      <c r="H52" s="51">
        <f>15438600-1000000-54000</f>
        <v>14384600</v>
      </c>
      <c r="I52" s="51"/>
      <c r="J52" s="50">
        <f t="shared" si="15"/>
        <v>17150138</v>
      </c>
      <c r="K52" s="51">
        <f>382402+100000+35000</f>
        <v>517402</v>
      </c>
      <c r="L52" s="51">
        <v>16632736</v>
      </c>
      <c r="M52" s="51">
        <v>40820</v>
      </c>
      <c r="N52" s="51">
        <v>1886</v>
      </c>
      <c r="O52" s="51">
        <f>K52</f>
        <v>517402</v>
      </c>
      <c r="P52" s="66">
        <f t="shared" si="16"/>
        <v>165626308</v>
      </c>
      <c r="Q52" s="19"/>
      <c r="R52" s="19"/>
      <c r="S52" s="19"/>
      <c r="T52" s="19"/>
      <c r="U52" s="19"/>
    </row>
    <row r="53" spans="1:21" ht="38.25" x14ac:dyDescent="0.2">
      <c r="A53" s="38"/>
      <c r="B53" s="72"/>
      <c r="C53" s="72"/>
      <c r="D53" s="40" t="s">
        <v>527</v>
      </c>
      <c r="E53" s="47">
        <f t="shared" si="14"/>
        <v>345189</v>
      </c>
      <c r="F53" s="83">
        <v>345189</v>
      </c>
      <c r="G53" s="83">
        <v>282940</v>
      </c>
      <c r="H53" s="83"/>
      <c r="I53" s="51"/>
      <c r="J53" s="50">
        <f t="shared" si="15"/>
        <v>0</v>
      </c>
      <c r="K53" s="51"/>
      <c r="L53" s="51"/>
      <c r="M53" s="51"/>
      <c r="N53" s="51"/>
      <c r="O53" s="51">
        <f>K53</f>
        <v>0</v>
      </c>
      <c r="P53" s="66">
        <f t="shared" si="16"/>
        <v>345189</v>
      </c>
      <c r="Q53" s="19"/>
      <c r="R53" s="19"/>
      <c r="S53" s="19"/>
      <c r="T53" s="19"/>
      <c r="U53" s="19"/>
    </row>
    <row r="54" spans="1:21" ht="38.25" x14ac:dyDescent="0.2">
      <c r="A54" s="38"/>
      <c r="B54" s="72"/>
      <c r="C54" s="72"/>
      <c r="D54" s="41" t="s">
        <v>635</v>
      </c>
      <c r="E54" s="47">
        <f t="shared" si="14"/>
        <v>72581</v>
      </c>
      <c r="F54" s="83">
        <v>72581</v>
      </c>
      <c r="G54" s="83"/>
      <c r="H54" s="83"/>
      <c r="I54" s="51"/>
      <c r="J54" s="50">
        <f t="shared" si="15"/>
        <v>0</v>
      </c>
      <c r="K54" s="51"/>
      <c r="L54" s="51"/>
      <c r="M54" s="51"/>
      <c r="N54" s="51"/>
      <c r="O54" s="51">
        <f>K54</f>
        <v>0</v>
      </c>
      <c r="P54" s="66">
        <f>E54+J54</f>
        <v>72581</v>
      </c>
      <c r="Q54" s="19"/>
      <c r="R54" s="19"/>
      <c r="S54" s="19"/>
      <c r="T54" s="19"/>
      <c r="U54" s="19"/>
    </row>
    <row r="55" spans="1:21" s="10" customFormat="1" hidden="1" x14ac:dyDescent="0.2">
      <c r="A55" s="37"/>
      <c r="B55" s="24"/>
      <c r="C55" s="24"/>
      <c r="D55" s="41" t="s">
        <v>510</v>
      </c>
      <c r="E55" s="50">
        <f t="shared" si="14"/>
        <v>0</v>
      </c>
      <c r="F55" s="83"/>
      <c r="G55" s="83"/>
      <c r="H55" s="83"/>
      <c r="I55" s="83"/>
      <c r="J55" s="50">
        <f t="shared" si="15"/>
        <v>0</v>
      </c>
      <c r="K55" s="83"/>
      <c r="L55" s="83"/>
      <c r="M55" s="83"/>
      <c r="N55" s="83"/>
      <c r="O55" s="51">
        <f>K55</f>
        <v>0</v>
      </c>
      <c r="P55" s="66">
        <f t="shared" si="16"/>
        <v>0</v>
      </c>
      <c r="Q55" s="8"/>
      <c r="R55" s="8"/>
      <c r="S55" s="8"/>
      <c r="T55" s="8"/>
      <c r="U55" s="8"/>
    </row>
    <row r="56" spans="1:21" ht="25.5" x14ac:dyDescent="0.2">
      <c r="A56" s="149" t="s">
        <v>200</v>
      </c>
      <c r="B56" s="93" t="s">
        <v>62</v>
      </c>
      <c r="C56" s="93" t="s">
        <v>138</v>
      </c>
      <c r="D56" s="94" t="s">
        <v>621</v>
      </c>
      <c r="E56" s="50">
        <f t="shared" si="14"/>
        <v>266034867</v>
      </c>
      <c r="F56" s="51">
        <f>263774390+280000-2000+1982477</f>
        <v>266034867</v>
      </c>
      <c r="G56" s="51">
        <v>195055009</v>
      </c>
      <c r="H56" s="51">
        <v>16338400</v>
      </c>
      <c r="I56" s="51"/>
      <c r="J56" s="50">
        <f t="shared" si="15"/>
        <v>20497134</v>
      </c>
      <c r="K56" s="51">
        <f>14178742+1100000+2000+100000+430000-16548</f>
        <v>15794194</v>
      </c>
      <c r="L56" s="51">
        <v>4464280</v>
      </c>
      <c r="M56" s="51">
        <v>1424750</v>
      </c>
      <c r="N56" s="51">
        <v>258260</v>
      </c>
      <c r="O56" s="51">
        <f>K56+238660</f>
        <v>16032854</v>
      </c>
      <c r="P56" s="66">
        <f t="shared" si="16"/>
        <v>286532001</v>
      </c>
      <c r="Q56" s="19"/>
      <c r="R56" s="19"/>
      <c r="S56" s="19"/>
      <c r="T56" s="19"/>
      <c r="U56" s="19"/>
    </row>
    <row r="57" spans="1:21" x14ac:dyDescent="0.2">
      <c r="A57" s="149"/>
      <c r="B57" s="93"/>
      <c r="C57" s="93"/>
      <c r="D57" s="132" t="s">
        <v>510</v>
      </c>
      <c r="E57" s="47">
        <f t="shared" si="14"/>
        <v>0</v>
      </c>
      <c r="F57" s="83"/>
      <c r="G57" s="51"/>
      <c r="H57" s="51"/>
      <c r="I57" s="51"/>
      <c r="J57" s="47">
        <f t="shared" si="15"/>
        <v>55000</v>
      </c>
      <c r="K57" s="83">
        <v>55000</v>
      </c>
      <c r="L57" s="83"/>
      <c r="M57" s="83"/>
      <c r="N57" s="83"/>
      <c r="O57" s="83">
        <f t="shared" ref="O57:O83" si="17">K57</f>
        <v>55000</v>
      </c>
      <c r="P57" s="80">
        <f t="shared" si="16"/>
        <v>55000</v>
      </c>
      <c r="Q57" s="19"/>
      <c r="R57" s="19"/>
      <c r="S57" s="19"/>
      <c r="T57" s="19"/>
      <c r="U57" s="19"/>
    </row>
    <row r="58" spans="1:21" x14ac:dyDescent="0.2">
      <c r="A58" s="149"/>
      <c r="B58" s="93"/>
      <c r="C58" s="93"/>
      <c r="D58" s="132" t="s">
        <v>86</v>
      </c>
      <c r="E58" s="47">
        <f t="shared" si="14"/>
        <v>202173800</v>
      </c>
      <c r="F58" s="83">
        <f>198287500+3886300</f>
        <v>202173800</v>
      </c>
      <c r="G58" s="83">
        <f>162530779+3185500</f>
        <v>165716279</v>
      </c>
      <c r="H58" s="51"/>
      <c r="I58" s="51"/>
      <c r="J58" s="50">
        <f t="shared" si="15"/>
        <v>0</v>
      </c>
      <c r="K58" s="51"/>
      <c r="L58" s="51"/>
      <c r="M58" s="51"/>
      <c r="N58" s="51"/>
      <c r="O58" s="51">
        <f t="shared" si="17"/>
        <v>0</v>
      </c>
      <c r="P58" s="66">
        <f t="shared" si="16"/>
        <v>202173800</v>
      </c>
      <c r="Q58" s="19"/>
      <c r="R58" s="19"/>
      <c r="S58" s="19"/>
      <c r="T58" s="19"/>
      <c r="U58" s="19"/>
    </row>
    <row r="59" spans="1:21" ht="25.5" hidden="1" customHeight="1" x14ac:dyDescent="0.2">
      <c r="A59" s="149"/>
      <c r="B59" s="93"/>
      <c r="C59" s="93"/>
      <c r="D59" s="132" t="s">
        <v>163</v>
      </c>
      <c r="E59" s="47">
        <f t="shared" si="14"/>
        <v>0</v>
      </c>
      <c r="F59" s="51"/>
      <c r="G59" s="51"/>
      <c r="H59" s="51"/>
      <c r="I59" s="51"/>
      <c r="J59" s="50">
        <f t="shared" si="15"/>
        <v>0</v>
      </c>
      <c r="K59" s="51"/>
      <c r="L59" s="51"/>
      <c r="M59" s="51"/>
      <c r="N59" s="51"/>
      <c r="O59" s="51">
        <f>K59</f>
        <v>0</v>
      </c>
      <c r="P59" s="66">
        <f>E59+J59</f>
        <v>0</v>
      </c>
      <c r="Q59" s="19"/>
      <c r="R59" s="19"/>
      <c r="S59" s="19"/>
      <c r="T59" s="19"/>
      <c r="U59" s="19"/>
    </row>
    <row r="60" spans="1:21" hidden="1" x14ac:dyDescent="0.2">
      <c r="A60" s="149">
        <v>1011030</v>
      </c>
      <c r="B60" s="93" t="s">
        <v>123</v>
      </c>
      <c r="C60" s="93" t="s">
        <v>138</v>
      </c>
      <c r="D60" s="26" t="s">
        <v>87</v>
      </c>
      <c r="E60" s="47">
        <f t="shared" si="14"/>
        <v>0</v>
      </c>
      <c r="F60" s="51"/>
      <c r="G60" s="51"/>
      <c r="H60" s="51"/>
      <c r="I60" s="51"/>
      <c r="J60" s="50">
        <f t="shared" si="15"/>
        <v>0</v>
      </c>
      <c r="K60" s="51"/>
      <c r="L60" s="51"/>
      <c r="M60" s="51"/>
      <c r="N60" s="51"/>
      <c r="O60" s="51">
        <f>K60</f>
        <v>0</v>
      </c>
      <c r="P60" s="66">
        <f>E60+J60</f>
        <v>0</v>
      </c>
      <c r="Q60" s="19"/>
      <c r="R60" s="19"/>
      <c r="S60" s="19"/>
      <c r="T60" s="19"/>
      <c r="U60" s="19"/>
    </row>
    <row r="61" spans="1:21" s="10" customFormat="1" ht="38.25" hidden="1" customHeight="1" x14ac:dyDescent="0.2">
      <c r="A61" s="133"/>
      <c r="B61" s="95"/>
      <c r="C61" s="95"/>
      <c r="D61" s="98" t="s">
        <v>606</v>
      </c>
      <c r="E61" s="47">
        <f t="shared" si="14"/>
        <v>0</v>
      </c>
      <c r="F61" s="83"/>
      <c r="G61" s="83"/>
      <c r="H61" s="83"/>
      <c r="I61" s="83"/>
      <c r="J61" s="50">
        <f t="shared" si="15"/>
        <v>0</v>
      </c>
      <c r="K61" s="83"/>
      <c r="L61" s="83"/>
      <c r="M61" s="83"/>
      <c r="N61" s="83"/>
      <c r="O61" s="51">
        <f>K61</f>
        <v>0</v>
      </c>
      <c r="P61" s="66">
        <f>E61+J61</f>
        <v>0</v>
      </c>
      <c r="Q61" s="8"/>
      <c r="R61" s="8"/>
      <c r="S61" s="8"/>
      <c r="T61" s="8"/>
      <c r="U61" s="8"/>
    </row>
    <row r="62" spans="1:21" ht="38.25" x14ac:dyDescent="0.2">
      <c r="A62" s="149"/>
      <c r="B62" s="93"/>
      <c r="C62" s="93"/>
      <c r="D62" s="98" t="s">
        <v>593</v>
      </c>
      <c r="E62" s="47">
        <f t="shared" si="14"/>
        <v>1982477</v>
      </c>
      <c r="F62" s="51">
        <v>1982477</v>
      </c>
      <c r="G62" s="51"/>
      <c r="H62" s="51"/>
      <c r="I62" s="51"/>
      <c r="J62" s="50">
        <f t="shared" si="15"/>
        <v>2657975</v>
      </c>
      <c r="K62" s="51">
        <f>2854434-196459</f>
        <v>2657975</v>
      </c>
      <c r="L62" s="51"/>
      <c r="M62" s="51"/>
      <c r="N62" s="51"/>
      <c r="O62" s="51">
        <f>K62</f>
        <v>2657975</v>
      </c>
      <c r="P62" s="66">
        <f>E62+J62</f>
        <v>4640452</v>
      </c>
      <c r="Q62" s="19"/>
      <c r="R62" s="19"/>
      <c r="S62" s="19"/>
      <c r="T62" s="19"/>
      <c r="U62" s="19"/>
    </row>
    <row r="63" spans="1:21" ht="25.5" x14ac:dyDescent="0.2">
      <c r="A63" s="149"/>
      <c r="B63" s="93"/>
      <c r="C63" s="93"/>
      <c r="D63" s="98" t="s">
        <v>494</v>
      </c>
      <c r="E63" s="47">
        <f t="shared" si="14"/>
        <v>1000000</v>
      </c>
      <c r="F63" s="83">
        <v>1000000</v>
      </c>
      <c r="G63" s="83"/>
      <c r="H63" s="83"/>
      <c r="I63" s="83"/>
      <c r="J63" s="47">
        <f t="shared" si="15"/>
        <v>2173400</v>
      </c>
      <c r="K63" s="83">
        <v>2173400</v>
      </c>
      <c r="L63" s="83"/>
      <c r="M63" s="83"/>
      <c r="N63" s="83"/>
      <c r="O63" s="83">
        <f t="shared" si="17"/>
        <v>2173400</v>
      </c>
      <c r="P63" s="66">
        <f t="shared" si="16"/>
        <v>3173400</v>
      </c>
      <c r="Q63" s="19"/>
      <c r="R63" s="19"/>
      <c r="S63" s="19"/>
      <c r="T63" s="19"/>
      <c r="U63" s="19"/>
    </row>
    <row r="64" spans="1:21" ht="25.5" x14ac:dyDescent="0.2">
      <c r="A64" s="149"/>
      <c r="B64" s="93"/>
      <c r="C64" s="93"/>
      <c r="D64" s="98" t="s">
        <v>507</v>
      </c>
      <c r="E64" s="47">
        <f t="shared" si="14"/>
        <v>0</v>
      </c>
      <c r="F64" s="83"/>
      <c r="G64" s="83"/>
      <c r="H64" s="83"/>
      <c r="I64" s="83"/>
      <c r="J64" s="47">
        <f t="shared" si="15"/>
        <v>1883907</v>
      </c>
      <c r="K64" s="83">
        <v>1883907</v>
      </c>
      <c r="L64" s="83"/>
      <c r="M64" s="83"/>
      <c r="N64" s="83"/>
      <c r="O64" s="83">
        <f t="shared" si="17"/>
        <v>1883907</v>
      </c>
      <c r="P64" s="66">
        <f t="shared" si="16"/>
        <v>1883907</v>
      </c>
      <c r="Q64" s="19"/>
      <c r="R64" s="19"/>
      <c r="S64" s="19"/>
      <c r="T64" s="19"/>
      <c r="U64" s="19"/>
    </row>
    <row r="65" spans="1:21" ht="25.5" x14ac:dyDescent="0.2">
      <c r="A65" s="149" t="s">
        <v>623</v>
      </c>
      <c r="B65" s="93" t="s">
        <v>123</v>
      </c>
      <c r="C65" s="93" t="s">
        <v>108</v>
      </c>
      <c r="D65" s="96" t="s">
        <v>622</v>
      </c>
      <c r="E65" s="50">
        <f t="shared" si="14"/>
        <v>2753476</v>
      </c>
      <c r="F65" s="51">
        <v>2753476</v>
      </c>
      <c r="G65" s="51">
        <v>2050269</v>
      </c>
      <c r="H65" s="51"/>
      <c r="I65" s="51"/>
      <c r="J65" s="50">
        <f t="shared" si="15"/>
        <v>502305</v>
      </c>
      <c r="K65" s="51">
        <v>502305</v>
      </c>
      <c r="L65" s="51"/>
      <c r="M65" s="51"/>
      <c r="N65" s="51"/>
      <c r="O65" s="51">
        <f t="shared" si="17"/>
        <v>502305</v>
      </c>
      <c r="P65" s="66">
        <f t="shared" si="16"/>
        <v>3255781</v>
      </c>
      <c r="Q65" s="19"/>
      <c r="R65" s="19"/>
      <c r="S65" s="19"/>
      <c r="T65" s="19"/>
      <c r="U65" s="19"/>
    </row>
    <row r="66" spans="1:21" x14ac:dyDescent="0.2">
      <c r="A66" s="149"/>
      <c r="B66" s="93"/>
      <c r="C66" s="93"/>
      <c r="D66" s="98" t="s">
        <v>86</v>
      </c>
      <c r="E66" s="50">
        <f t="shared" si="14"/>
        <v>1756800</v>
      </c>
      <c r="F66" s="51">
        <v>1756800</v>
      </c>
      <c r="G66" s="51">
        <v>1440000</v>
      </c>
      <c r="H66" s="51"/>
      <c r="I66" s="51"/>
      <c r="J66" s="50">
        <f t="shared" si="15"/>
        <v>0</v>
      </c>
      <c r="K66" s="51"/>
      <c r="L66" s="51"/>
      <c r="M66" s="51"/>
      <c r="N66" s="51"/>
      <c r="O66" s="51">
        <f t="shared" si="17"/>
        <v>0</v>
      </c>
      <c r="P66" s="66">
        <f t="shared" si="16"/>
        <v>1756800</v>
      </c>
      <c r="Q66" s="19"/>
      <c r="R66" s="19"/>
      <c r="S66" s="19"/>
      <c r="T66" s="19"/>
      <c r="U66" s="19"/>
    </row>
    <row r="67" spans="1:21" ht="25.5" hidden="1" x14ac:dyDescent="0.2">
      <c r="A67" s="149"/>
      <c r="B67" s="93"/>
      <c r="C67" s="93"/>
      <c r="D67" s="98" t="s">
        <v>494</v>
      </c>
      <c r="E67" s="50"/>
      <c r="F67" s="51"/>
      <c r="G67" s="51"/>
      <c r="H67" s="51"/>
      <c r="I67" s="51"/>
      <c r="J67" s="50">
        <f t="shared" si="15"/>
        <v>0</v>
      </c>
      <c r="K67" s="51"/>
      <c r="L67" s="51"/>
      <c r="M67" s="51"/>
      <c r="N67" s="51"/>
      <c r="O67" s="51">
        <f>K67</f>
        <v>0</v>
      </c>
      <c r="P67" s="66">
        <f t="shared" si="16"/>
        <v>0</v>
      </c>
      <c r="Q67" s="19"/>
      <c r="R67" s="19"/>
      <c r="S67" s="19"/>
      <c r="T67" s="19"/>
      <c r="U67" s="19"/>
    </row>
    <row r="68" spans="1:21" s="10" customFormat="1" ht="38.25" x14ac:dyDescent="0.2">
      <c r="A68" s="133"/>
      <c r="B68" s="95"/>
      <c r="C68" s="95"/>
      <c r="D68" s="132" t="s">
        <v>527</v>
      </c>
      <c r="E68" s="47">
        <f>F68+I68</f>
        <v>836676</v>
      </c>
      <c r="F68" s="83">
        <v>836676</v>
      </c>
      <c r="G68" s="83">
        <v>610269</v>
      </c>
      <c r="H68" s="83"/>
      <c r="I68" s="83"/>
      <c r="J68" s="47">
        <f>L68+O68</f>
        <v>502305</v>
      </c>
      <c r="K68" s="83">
        <v>502305</v>
      </c>
      <c r="L68" s="83"/>
      <c r="M68" s="83"/>
      <c r="N68" s="83"/>
      <c r="O68" s="83">
        <f t="shared" si="17"/>
        <v>502305</v>
      </c>
      <c r="P68" s="80">
        <f t="shared" si="16"/>
        <v>1338981</v>
      </c>
      <c r="Q68" s="8"/>
      <c r="R68" s="8"/>
      <c r="S68" s="8"/>
      <c r="T68" s="8"/>
      <c r="U68" s="8"/>
    </row>
    <row r="69" spans="1:21" ht="25.5" x14ac:dyDescent="0.2">
      <c r="A69" s="149" t="s">
        <v>201</v>
      </c>
      <c r="B69" s="93" t="s">
        <v>122</v>
      </c>
      <c r="C69" s="93" t="s">
        <v>139</v>
      </c>
      <c r="D69" s="94" t="s">
        <v>624</v>
      </c>
      <c r="E69" s="50">
        <f t="shared" si="14"/>
        <v>20194100</v>
      </c>
      <c r="F69" s="51">
        <f>23169100-2900000-75000</f>
        <v>20194100</v>
      </c>
      <c r="G69" s="51">
        <f>17248400-700000-2400000</f>
        <v>14148400</v>
      </c>
      <c r="H69" s="51">
        <v>1688400</v>
      </c>
      <c r="I69" s="51"/>
      <c r="J69" s="50">
        <f>L69+O69</f>
        <v>1498600</v>
      </c>
      <c r="K69" s="51">
        <f>403000+75000</f>
        <v>478000</v>
      </c>
      <c r="L69" s="51">
        <v>977200</v>
      </c>
      <c r="M69" s="51">
        <v>222700</v>
      </c>
      <c r="N69" s="51">
        <v>23870</v>
      </c>
      <c r="O69" s="83">
        <f>K69+43400</f>
        <v>521400</v>
      </c>
      <c r="P69" s="66">
        <f>E69+J69</f>
        <v>21692700</v>
      </c>
      <c r="Q69" s="19"/>
      <c r="R69" s="19"/>
      <c r="S69" s="19"/>
      <c r="T69" s="19"/>
      <c r="U69" s="19"/>
    </row>
    <row r="70" spans="1:21" s="10" customFormat="1" hidden="1" x14ac:dyDescent="0.2">
      <c r="A70" s="133"/>
      <c r="B70" s="95"/>
      <c r="C70" s="95"/>
      <c r="D70" s="90" t="s">
        <v>510</v>
      </c>
      <c r="E70" s="50">
        <f t="shared" si="14"/>
        <v>0</v>
      </c>
      <c r="F70" s="83"/>
      <c r="G70" s="83"/>
      <c r="H70" s="83"/>
      <c r="I70" s="83"/>
      <c r="J70" s="50">
        <f>L70+O70</f>
        <v>0</v>
      </c>
      <c r="K70" s="83"/>
      <c r="L70" s="83"/>
      <c r="M70" s="83"/>
      <c r="N70" s="83"/>
      <c r="O70" s="83">
        <f t="shared" si="17"/>
        <v>0</v>
      </c>
      <c r="P70" s="80">
        <f>E70+J70</f>
        <v>0</v>
      </c>
      <c r="Q70" s="8"/>
      <c r="R70" s="8"/>
      <c r="S70" s="8"/>
      <c r="T70" s="8"/>
      <c r="U70" s="8"/>
    </row>
    <row r="71" spans="1:21" ht="25.5" x14ac:dyDescent="0.2">
      <c r="A71" s="149" t="s">
        <v>203</v>
      </c>
      <c r="B71" s="93" t="s">
        <v>202</v>
      </c>
      <c r="C71" s="93" t="s">
        <v>140</v>
      </c>
      <c r="D71" s="94" t="s">
        <v>625</v>
      </c>
      <c r="E71" s="50">
        <f t="shared" si="14"/>
        <v>3420958</v>
      </c>
      <c r="F71" s="51">
        <f>4420400-778892-140550-80000</f>
        <v>3420958</v>
      </c>
      <c r="G71" s="51">
        <f>2819500-320330-115200-65600</f>
        <v>2318370</v>
      </c>
      <c r="H71" s="51">
        <f>728400-259136-13971-80198-5572</f>
        <v>369523</v>
      </c>
      <c r="I71" s="51"/>
      <c r="J71" s="50">
        <f t="shared" si="15"/>
        <v>238567</v>
      </c>
      <c r="K71" s="51">
        <f>286468-45000-3521+620</f>
        <v>238567</v>
      </c>
      <c r="L71" s="51"/>
      <c r="M71" s="51"/>
      <c r="N71" s="51"/>
      <c r="O71" s="51">
        <f t="shared" si="17"/>
        <v>238567</v>
      </c>
      <c r="P71" s="66">
        <f t="shared" si="16"/>
        <v>3659525</v>
      </c>
      <c r="Q71" s="19"/>
      <c r="R71" s="19"/>
      <c r="S71" s="19"/>
      <c r="T71" s="19"/>
      <c r="U71" s="19"/>
    </row>
    <row r="72" spans="1:21" hidden="1" x14ac:dyDescent="0.2">
      <c r="A72" s="149">
        <v>1011190</v>
      </c>
      <c r="B72" s="93" t="s">
        <v>30</v>
      </c>
      <c r="C72" s="93" t="s">
        <v>140</v>
      </c>
      <c r="D72" s="94" t="s">
        <v>88</v>
      </c>
      <c r="E72" s="50">
        <f t="shared" si="14"/>
        <v>0</v>
      </c>
      <c r="F72" s="51"/>
      <c r="G72" s="51"/>
      <c r="H72" s="51"/>
      <c r="I72" s="51"/>
      <c r="J72" s="50">
        <f t="shared" si="15"/>
        <v>0</v>
      </c>
      <c r="K72" s="51"/>
      <c r="L72" s="51"/>
      <c r="M72" s="51"/>
      <c r="N72" s="51"/>
      <c r="O72" s="51">
        <f t="shared" si="17"/>
        <v>0</v>
      </c>
      <c r="P72" s="66">
        <f t="shared" si="16"/>
        <v>0</v>
      </c>
      <c r="Q72" s="19"/>
      <c r="R72" s="19"/>
      <c r="S72" s="19"/>
      <c r="T72" s="19"/>
      <c r="U72" s="19"/>
    </row>
    <row r="73" spans="1:21" hidden="1" x14ac:dyDescent="0.2">
      <c r="A73" s="149">
        <v>1011200</v>
      </c>
      <c r="B73" s="93" t="s">
        <v>31</v>
      </c>
      <c r="C73" s="93" t="s">
        <v>140</v>
      </c>
      <c r="D73" s="94" t="s">
        <v>89</v>
      </c>
      <c r="E73" s="50">
        <f t="shared" si="14"/>
        <v>0</v>
      </c>
      <c r="F73" s="51"/>
      <c r="G73" s="51"/>
      <c r="H73" s="51"/>
      <c r="I73" s="51"/>
      <c r="J73" s="50">
        <f t="shared" si="15"/>
        <v>0</v>
      </c>
      <c r="K73" s="51"/>
      <c r="L73" s="51"/>
      <c r="M73" s="51"/>
      <c r="N73" s="51"/>
      <c r="O73" s="51">
        <f t="shared" si="17"/>
        <v>0</v>
      </c>
      <c r="P73" s="66">
        <f t="shared" si="16"/>
        <v>0</v>
      </c>
      <c r="Q73" s="19"/>
      <c r="R73" s="19"/>
      <c r="S73" s="19"/>
      <c r="T73" s="19"/>
      <c r="U73" s="19"/>
    </row>
    <row r="74" spans="1:21" hidden="1" x14ac:dyDescent="0.2">
      <c r="A74" s="149" t="s">
        <v>206</v>
      </c>
      <c r="B74" s="93" t="s">
        <v>205</v>
      </c>
      <c r="C74" s="93"/>
      <c r="D74" s="150" t="s">
        <v>204</v>
      </c>
      <c r="E74" s="50">
        <f t="shared" si="14"/>
        <v>0</v>
      </c>
      <c r="F74" s="51"/>
      <c r="G74" s="51"/>
      <c r="H74" s="51"/>
      <c r="I74" s="51"/>
      <c r="J74" s="50">
        <f t="shared" si="15"/>
        <v>203629</v>
      </c>
      <c r="K74" s="51">
        <f>K75+K78</f>
        <v>203629</v>
      </c>
      <c r="L74" s="51">
        <f>L75+L78</f>
        <v>0</v>
      </c>
      <c r="M74" s="51">
        <f>M75+M78</f>
        <v>0</v>
      </c>
      <c r="N74" s="51">
        <f>N75+N78</f>
        <v>0</v>
      </c>
      <c r="O74" s="51">
        <f t="shared" si="17"/>
        <v>203629</v>
      </c>
      <c r="P74" s="66">
        <f t="shared" si="16"/>
        <v>203629</v>
      </c>
      <c r="Q74" s="19"/>
      <c r="R74" s="19"/>
      <c r="S74" s="19"/>
      <c r="T74" s="19"/>
      <c r="U74" s="19"/>
    </row>
    <row r="75" spans="1:21" s="10" customFormat="1" x14ac:dyDescent="0.2">
      <c r="A75" s="133" t="s">
        <v>415</v>
      </c>
      <c r="B75" s="95" t="s">
        <v>413</v>
      </c>
      <c r="C75" s="95" t="s">
        <v>140</v>
      </c>
      <c r="D75" s="151" t="s">
        <v>417</v>
      </c>
      <c r="E75" s="47">
        <f>F75+I75</f>
        <v>7302742</v>
      </c>
      <c r="F75" s="83">
        <f>6263300+13500-23670+802562+140550+26500+80000</f>
        <v>7302742</v>
      </c>
      <c r="G75" s="83">
        <f>4949800-23670+344000+115200+65600</f>
        <v>5450930</v>
      </c>
      <c r="H75" s="83">
        <f>259136+13971+80198+5572</f>
        <v>358877</v>
      </c>
      <c r="I75" s="83"/>
      <c r="J75" s="47">
        <f t="shared" si="15"/>
        <v>203629</v>
      </c>
      <c r="K75" s="83">
        <f>74180+65000+45000+20069-620</f>
        <v>203629</v>
      </c>
      <c r="L75" s="83"/>
      <c r="M75" s="83"/>
      <c r="N75" s="83"/>
      <c r="O75" s="83">
        <f t="shared" si="17"/>
        <v>203629</v>
      </c>
      <c r="P75" s="80">
        <f t="shared" si="16"/>
        <v>7506371</v>
      </c>
      <c r="Q75" s="8"/>
      <c r="R75" s="8"/>
      <c r="S75" s="8"/>
      <c r="T75" s="8"/>
      <c r="U75" s="8"/>
    </row>
    <row r="76" spans="1:21" s="10" customFormat="1" hidden="1" x14ac:dyDescent="0.2">
      <c r="A76" s="133"/>
      <c r="B76" s="95"/>
      <c r="C76" s="95"/>
      <c r="D76" s="151" t="s">
        <v>576</v>
      </c>
      <c r="E76" s="47"/>
      <c r="F76" s="83"/>
      <c r="G76" s="83"/>
      <c r="H76" s="83"/>
      <c r="I76" s="83"/>
      <c r="J76" s="47"/>
      <c r="K76" s="83"/>
      <c r="L76" s="83"/>
      <c r="M76" s="83"/>
      <c r="N76" s="83"/>
      <c r="O76" s="83"/>
      <c r="P76" s="80"/>
      <c r="Q76" s="8"/>
      <c r="R76" s="8"/>
      <c r="S76" s="8"/>
      <c r="T76" s="8"/>
      <c r="U76" s="8"/>
    </row>
    <row r="77" spans="1:21" s="10" customFormat="1" ht="38.25" hidden="1" x14ac:dyDescent="0.2">
      <c r="A77" s="133"/>
      <c r="B77" s="95"/>
      <c r="C77" s="95"/>
      <c r="D77" s="151" t="s">
        <v>527</v>
      </c>
      <c r="E77" s="47"/>
      <c r="F77" s="83"/>
      <c r="G77" s="83"/>
      <c r="H77" s="83"/>
      <c r="I77" s="83"/>
      <c r="J77" s="47">
        <f t="shared" si="15"/>
        <v>0</v>
      </c>
      <c r="K77" s="83"/>
      <c r="L77" s="83"/>
      <c r="M77" s="83"/>
      <c r="N77" s="83"/>
      <c r="O77" s="83">
        <f t="shared" si="17"/>
        <v>0</v>
      </c>
      <c r="P77" s="80">
        <f t="shared" si="16"/>
        <v>0</v>
      </c>
      <c r="Q77" s="8"/>
      <c r="R77" s="8"/>
      <c r="S77" s="8"/>
      <c r="T77" s="8"/>
      <c r="U77" s="8"/>
    </row>
    <row r="78" spans="1:21" s="10" customFormat="1" x14ac:dyDescent="0.2">
      <c r="A78" s="133" t="s">
        <v>416</v>
      </c>
      <c r="B78" s="95" t="s">
        <v>414</v>
      </c>
      <c r="C78" s="95" t="s">
        <v>140</v>
      </c>
      <c r="D78" s="151" t="s">
        <v>418</v>
      </c>
      <c r="E78" s="47">
        <f t="shared" si="14"/>
        <v>527000</v>
      </c>
      <c r="F78" s="83">
        <v>527000</v>
      </c>
      <c r="G78" s="83"/>
      <c r="H78" s="83"/>
      <c r="I78" s="83"/>
      <c r="J78" s="47">
        <f t="shared" si="15"/>
        <v>0</v>
      </c>
      <c r="K78" s="83"/>
      <c r="L78" s="83"/>
      <c r="M78" s="83"/>
      <c r="N78" s="83"/>
      <c r="O78" s="83">
        <f t="shared" si="17"/>
        <v>0</v>
      </c>
      <c r="P78" s="80">
        <f t="shared" si="16"/>
        <v>527000</v>
      </c>
      <c r="Q78" s="8"/>
      <c r="R78" s="8"/>
      <c r="S78" s="8"/>
      <c r="T78" s="8"/>
      <c r="U78" s="8"/>
    </row>
    <row r="79" spans="1:21" x14ac:dyDescent="0.2">
      <c r="A79" s="38" t="s">
        <v>451</v>
      </c>
      <c r="B79" s="99" t="s">
        <v>23</v>
      </c>
      <c r="C79" s="99" t="s">
        <v>140</v>
      </c>
      <c r="D79" s="57" t="s">
        <v>589</v>
      </c>
      <c r="E79" s="50">
        <f t="shared" si="14"/>
        <v>3242849</v>
      </c>
      <c r="F79" s="51">
        <f>441800+3075849-274800</f>
        <v>3242849</v>
      </c>
      <c r="G79" s="51">
        <f>314200+2500000-225300</f>
        <v>2588900</v>
      </c>
      <c r="H79" s="51"/>
      <c r="I79" s="51"/>
      <c r="J79" s="50">
        <f t="shared" si="15"/>
        <v>0</v>
      </c>
      <c r="K79" s="51"/>
      <c r="L79" s="51"/>
      <c r="M79" s="51"/>
      <c r="N79" s="51"/>
      <c r="O79" s="51">
        <f t="shared" si="17"/>
        <v>0</v>
      </c>
      <c r="P79" s="66">
        <f t="shared" si="16"/>
        <v>3242849</v>
      </c>
      <c r="Q79" s="19"/>
      <c r="R79" s="19"/>
      <c r="S79" s="19"/>
      <c r="T79" s="19"/>
      <c r="U79" s="19"/>
    </row>
    <row r="80" spans="1:21" s="10" customFormat="1" hidden="1" x14ac:dyDescent="0.2">
      <c r="A80" s="37"/>
      <c r="B80" s="35"/>
      <c r="C80" s="35"/>
      <c r="D80" s="151" t="s">
        <v>576</v>
      </c>
      <c r="E80" s="50">
        <f t="shared" si="14"/>
        <v>0</v>
      </c>
      <c r="F80" s="83"/>
      <c r="G80" s="83"/>
      <c r="H80" s="83"/>
      <c r="I80" s="83"/>
      <c r="J80" s="50">
        <f t="shared" si="15"/>
        <v>0</v>
      </c>
      <c r="K80" s="83"/>
      <c r="L80" s="83"/>
      <c r="M80" s="83"/>
      <c r="N80" s="83"/>
      <c r="O80" s="51">
        <f t="shared" si="17"/>
        <v>0</v>
      </c>
      <c r="P80" s="66">
        <f t="shared" si="16"/>
        <v>0</v>
      </c>
      <c r="Q80" s="8"/>
      <c r="R80" s="8"/>
      <c r="S80" s="8"/>
      <c r="T80" s="8"/>
      <c r="U80" s="8"/>
    </row>
    <row r="81" spans="1:21" s="10" customFormat="1" ht="25.5" x14ac:dyDescent="0.2">
      <c r="A81" s="37"/>
      <c r="B81" s="35"/>
      <c r="C81" s="35"/>
      <c r="D81" s="41" t="s">
        <v>592</v>
      </c>
      <c r="E81" s="50">
        <f t="shared" si="14"/>
        <v>3075849</v>
      </c>
      <c r="F81" s="83">
        <v>3075849</v>
      </c>
      <c r="G81" s="83">
        <v>2500000</v>
      </c>
      <c r="H81" s="83"/>
      <c r="I81" s="83"/>
      <c r="J81" s="50">
        <f t="shared" si="15"/>
        <v>0</v>
      </c>
      <c r="K81" s="83"/>
      <c r="L81" s="83"/>
      <c r="M81" s="83"/>
      <c r="N81" s="83"/>
      <c r="O81" s="51">
        <f t="shared" si="17"/>
        <v>0</v>
      </c>
      <c r="P81" s="66">
        <f t="shared" si="16"/>
        <v>3075849</v>
      </c>
      <c r="Q81" s="8"/>
      <c r="R81" s="8"/>
      <c r="S81" s="8"/>
      <c r="T81" s="8"/>
      <c r="U81" s="8"/>
    </row>
    <row r="82" spans="1:21" s="10" customFormat="1" hidden="1" x14ac:dyDescent="0.2">
      <c r="A82" s="37"/>
      <c r="B82" s="35"/>
      <c r="C82" s="35"/>
      <c r="D82" s="151" t="s">
        <v>510</v>
      </c>
      <c r="E82" s="50">
        <f t="shared" si="14"/>
        <v>0</v>
      </c>
      <c r="F82" s="83"/>
      <c r="G82" s="83"/>
      <c r="H82" s="83"/>
      <c r="I82" s="83"/>
      <c r="J82" s="50">
        <f t="shared" si="15"/>
        <v>0</v>
      </c>
      <c r="K82" s="83"/>
      <c r="L82" s="83"/>
      <c r="M82" s="83"/>
      <c r="N82" s="83"/>
      <c r="O82" s="51">
        <f t="shared" si="17"/>
        <v>0</v>
      </c>
      <c r="P82" s="66">
        <f t="shared" si="16"/>
        <v>0</v>
      </c>
      <c r="Q82" s="8"/>
      <c r="R82" s="8"/>
      <c r="S82" s="8"/>
      <c r="T82" s="8"/>
      <c r="U82" s="8"/>
    </row>
    <row r="83" spans="1:21" hidden="1" x14ac:dyDescent="0.2">
      <c r="A83" s="38" t="s">
        <v>620</v>
      </c>
      <c r="B83" s="99" t="s">
        <v>192</v>
      </c>
      <c r="C83" s="21" t="s">
        <v>127</v>
      </c>
      <c r="D83" s="28" t="s">
        <v>193</v>
      </c>
      <c r="E83" s="50"/>
      <c r="F83" s="51"/>
      <c r="G83" s="51"/>
      <c r="H83" s="51"/>
      <c r="I83" s="51"/>
      <c r="J83" s="50">
        <f t="shared" si="15"/>
        <v>0</v>
      </c>
      <c r="K83" s="51"/>
      <c r="L83" s="51"/>
      <c r="M83" s="51"/>
      <c r="N83" s="51"/>
      <c r="O83" s="51">
        <f t="shared" si="17"/>
        <v>0</v>
      </c>
      <c r="P83" s="66">
        <f t="shared" si="16"/>
        <v>0</v>
      </c>
      <c r="Q83" s="19"/>
      <c r="R83" s="19"/>
      <c r="S83" s="19"/>
      <c r="T83" s="19"/>
      <c r="U83" s="19"/>
    </row>
    <row r="84" spans="1:21" x14ac:dyDescent="0.2">
      <c r="A84" s="39" t="s">
        <v>174</v>
      </c>
      <c r="B84" s="60"/>
      <c r="C84" s="61"/>
      <c r="D84" s="148" t="s">
        <v>93</v>
      </c>
      <c r="E84" s="77">
        <f>E93</f>
        <v>109968780</v>
      </c>
      <c r="F84" s="77">
        <f t="shared" ref="F84:O84" si="18">F93</f>
        <v>109968780</v>
      </c>
      <c r="G84" s="77">
        <f t="shared" si="18"/>
        <v>1667300</v>
      </c>
      <c r="H84" s="77">
        <f t="shared" si="18"/>
        <v>11500</v>
      </c>
      <c r="I84" s="77">
        <f t="shared" si="18"/>
        <v>0</v>
      </c>
      <c r="J84" s="77">
        <f t="shared" si="18"/>
        <v>19502907</v>
      </c>
      <c r="K84" s="77">
        <f>K93</f>
        <v>19502907</v>
      </c>
      <c r="L84" s="77">
        <f t="shared" si="18"/>
        <v>0</v>
      </c>
      <c r="M84" s="77">
        <f t="shared" si="18"/>
        <v>0</v>
      </c>
      <c r="N84" s="77">
        <f t="shared" si="18"/>
        <v>0</v>
      </c>
      <c r="O84" s="77">
        <f t="shared" si="18"/>
        <v>19502907</v>
      </c>
      <c r="P84" s="66">
        <f t="shared" si="16"/>
        <v>129471687</v>
      </c>
      <c r="Q84" s="140"/>
      <c r="R84" s="129"/>
      <c r="S84" s="19"/>
      <c r="T84" s="19"/>
      <c r="U84" s="19"/>
    </row>
    <row r="85" spans="1:21" s="10" customFormat="1" x14ac:dyDescent="0.2">
      <c r="A85" s="37"/>
      <c r="B85" s="48"/>
      <c r="C85" s="21"/>
      <c r="D85" s="40" t="s">
        <v>95</v>
      </c>
      <c r="E85" s="47">
        <f>F85+I85</f>
        <v>30476100</v>
      </c>
      <c r="F85" s="49">
        <f>F96+F104+F117+F110</f>
        <v>30476100</v>
      </c>
      <c r="G85" s="49">
        <f>SUM(G96+G100+G104+G106+G120+G115+G133+G124+G128)</f>
        <v>0</v>
      </c>
      <c r="H85" s="49">
        <f>SUM(H96+H100+H104+H106+H120+H115+H133+H124+H128)</f>
        <v>0</v>
      </c>
      <c r="I85" s="49">
        <f>SUM(I96+I100+I104+I106+I120+I115+I133+I124+I128)</f>
        <v>0</v>
      </c>
      <c r="J85" s="49">
        <f>SUM(J96+J104+J106+J120+J115+J133)</f>
        <v>74500</v>
      </c>
      <c r="K85" s="49">
        <f>SUM(K96+K104+K106+K120+K115+K133)</f>
        <v>74500</v>
      </c>
      <c r="L85" s="49">
        <f>SUM(L96+L100+L104+L106+L120+L115+L133)</f>
        <v>0</v>
      </c>
      <c r="M85" s="49">
        <f>SUM(M96+M100+M104+M106+M120+M115+M133)</f>
        <v>0</v>
      </c>
      <c r="N85" s="49">
        <f>SUM(N96+N100+N104+N106+N120+N115+N133)</f>
        <v>0</v>
      </c>
      <c r="O85" s="49">
        <f>SUM(O96+O104+O106+O120+O115+O133)</f>
        <v>74500</v>
      </c>
      <c r="P85" s="80">
        <f t="shared" si="16"/>
        <v>30550600</v>
      </c>
      <c r="Q85" s="8"/>
      <c r="R85" s="8"/>
      <c r="S85" s="8"/>
      <c r="T85" s="8"/>
      <c r="U85" s="8"/>
    </row>
    <row r="86" spans="1:21" s="10" customFormat="1" ht="55.5" customHeight="1" x14ac:dyDescent="0.2">
      <c r="A86" s="37"/>
      <c r="B86" s="48"/>
      <c r="C86" s="21"/>
      <c r="D86" s="40" t="s">
        <v>650</v>
      </c>
      <c r="E86" s="47">
        <f>F86+I86</f>
        <v>4807700</v>
      </c>
      <c r="F86" s="49">
        <f>F97+F103</f>
        <v>4807700</v>
      </c>
      <c r="G86" s="49"/>
      <c r="H86" s="49"/>
      <c r="I86" s="49"/>
      <c r="J86" s="49">
        <f>L86+O86</f>
        <v>1423000</v>
      </c>
      <c r="K86" s="49">
        <f>K103</f>
        <v>1423000</v>
      </c>
      <c r="L86" s="49"/>
      <c r="M86" s="49"/>
      <c r="N86" s="49"/>
      <c r="O86" s="49">
        <f>K86</f>
        <v>1423000</v>
      </c>
      <c r="P86" s="80">
        <f t="shared" si="16"/>
        <v>6230700</v>
      </c>
      <c r="Q86" s="8"/>
      <c r="R86" s="8"/>
      <c r="S86" s="8"/>
      <c r="T86" s="8"/>
      <c r="U86" s="8"/>
    </row>
    <row r="87" spans="1:21" s="10" customFormat="1" ht="63.75" x14ac:dyDescent="0.2">
      <c r="A87" s="37"/>
      <c r="B87" s="48"/>
      <c r="C87" s="21"/>
      <c r="D87" s="41" t="s">
        <v>651</v>
      </c>
      <c r="E87" s="47">
        <f>F87+I87</f>
        <v>0</v>
      </c>
      <c r="F87" s="49">
        <f>F98</f>
        <v>0</v>
      </c>
      <c r="G87" s="49"/>
      <c r="H87" s="49"/>
      <c r="I87" s="49"/>
      <c r="J87" s="49">
        <f>L87+O87</f>
        <v>250000</v>
      </c>
      <c r="K87" s="49">
        <f>K98</f>
        <v>250000</v>
      </c>
      <c r="L87" s="49"/>
      <c r="M87" s="49"/>
      <c r="N87" s="49"/>
      <c r="O87" s="49">
        <f>K87</f>
        <v>250000</v>
      </c>
      <c r="P87" s="80">
        <f t="shared" si="16"/>
        <v>250000</v>
      </c>
      <c r="Q87" s="8"/>
      <c r="R87" s="8"/>
      <c r="S87" s="8"/>
      <c r="T87" s="8"/>
      <c r="U87" s="8"/>
    </row>
    <row r="88" spans="1:21" s="10" customFormat="1" x14ac:dyDescent="0.2">
      <c r="A88" s="37"/>
      <c r="B88" s="48"/>
      <c r="C88" s="21"/>
      <c r="D88" s="40" t="s">
        <v>510</v>
      </c>
      <c r="E88" s="47">
        <f>E134+E99</f>
        <v>504769</v>
      </c>
      <c r="F88" s="47">
        <f>F134+F99</f>
        <v>504769</v>
      </c>
      <c r="G88" s="47">
        <f>G134</f>
        <v>0</v>
      </c>
      <c r="H88" s="47">
        <f>H134</f>
        <v>0</v>
      </c>
      <c r="I88" s="47">
        <f>I134</f>
        <v>0</v>
      </c>
      <c r="J88" s="47">
        <f>K88+L88</f>
        <v>6147000</v>
      </c>
      <c r="K88" s="49">
        <f>K99</f>
        <v>6147000</v>
      </c>
      <c r="L88" s="49"/>
      <c r="M88" s="49"/>
      <c r="N88" s="49"/>
      <c r="O88" s="49">
        <f>K88</f>
        <v>6147000</v>
      </c>
      <c r="P88" s="80">
        <f t="shared" si="16"/>
        <v>6651769</v>
      </c>
      <c r="Q88" s="8"/>
      <c r="R88" s="8"/>
      <c r="S88" s="8"/>
      <c r="T88" s="8"/>
      <c r="U88" s="8"/>
    </row>
    <row r="89" spans="1:21" s="10" customFormat="1" ht="32.25" customHeight="1" x14ac:dyDescent="0.2">
      <c r="A89" s="37"/>
      <c r="B89" s="48"/>
      <c r="C89" s="21"/>
      <c r="D89" s="23" t="s">
        <v>633</v>
      </c>
      <c r="E89" s="47">
        <f>F89</f>
        <v>3946765</v>
      </c>
      <c r="F89" s="47">
        <f>F124+F100</f>
        <v>3946765</v>
      </c>
      <c r="G89" s="47"/>
      <c r="H89" s="47"/>
      <c r="I89" s="47"/>
      <c r="J89" s="47"/>
      <c r="K89" s="49"/>
      <c r="L89" s="49"/>
      <c r="M89" s="49"/>
      <c r="N89" s="49"/>
      <c r="O89" s="49"/>
      <c r="P89" s="80">
        <f t="shared" si="16"/>
        <v>3946765</v>
      </c>
      <c r="Q89" s="8"/>
      <c r="R89" s="8"/>
      <c r="S89" s="8"/>
      <c r="T89" s="8"/>
      <c r="U89" s="8"/>
    </row>
    <row r="90" spans="1:21" s="10" customFormat="1" ht="29.25" customHeight="1" x14ac:dyDescent="0.2">
      <c r="A90" s="37"/>
      <c r="B90" s="48"/>
      <c r="C90" s="21"/>
      <c r="D90" s="23" t="s">
        <v>627</v>
      </c>
      <c r="E90" s="47">
        <f>E125</f>
        <v>204292</v>
      </c>
      <c r="F90" s="47">
        <f>F125</f>
        <v>204292</v>
      </c>
      <c r="G90" s="47"/>
      <c r="H90" s="47"/>
      <c r="I90" s="47"/>
      <c r="J90" s="47">
        <f>J101</f>
        <v>1857908</v>
      </c>
      <c r="K90" s="47">
        <f>K101</f>
        <v>1857908</v>
      </c>
      <c r="L90" s="49"/>
      <c r="M90" s="49"/>
      <c r="N90" s="49"/>
      <c r="O90" s="47">
        <f>O101</f>
        <v>1857908</v>
      </c>
      <c r="P90" s="80">
        <f t="shared" si="16"/>
        <v>2062200</v>
      </c>
      <c r="Q90" s="8"/>
      <c r="R90" s="8"/>
      <c r="S90" s="8"/>
      <c r="T90" s="8"/>
      <c r="U90" s="8"/>
    </row>
    <row r="91" spans="1:21" s="10" customFormat="1" ht="25.5" x14ac:dyDescent="0.2">
      <c r="A91" s="37"/>
      <c r="B91" s="48"/>
      <c r="C91" s="21"/>
      <c r="D91" s="23" t="s">
        <v>508</v>
      </c>
      <c r="E91" s="47">
        <f>F91</f>
        <v>737946</v>
      </c>
      <c r="F91" s="47">
        <f>F101+F108+F112+F126</f>
        <v>737946</v>
      </c>
      <c r="G91" s="47"/>
      <c r="H91" s="47"/>
      <c r="I91" s="47"/>
      <c r="J91" s="47">
        <f>J135</f>
        <v>0</v>
      </c>
      <c r="K91" s="49"/>
      <c r="L91" s="49"/>
      <c r="M91" s="49"/>
      <c r="N91" s="49"/>
      <c r="O91" s="49"/>
      <c r="P91" s="80">
        <f t="shared" si="16"/>
        <v>737946</v>
      </c>
      <c r="Q91" s="8"/>
      <c r="R91" s="8"/>
      <c r="S91" s="8"/>
      <c r="T91" s="8"/>
      <c r="U91" s="8"/>
    </row>
    <row r="92" spans="1:21" s="10" customFormat="1" ht="25.5" x14ac:dyDescent="0.2">
      <c r="A92" s="37"/>
      <c r="B92" s="48"/>
      <c r="C92" s="21"/>
      <c r="D92" s="40" t="s">
        <v>537</v>
      </c>
      <c r="E92" s="47"/>
      <c r="F92" s="49"/>
      <c r="G92" s="49"/>
      <c r="H92" s="49"/>
      <c r="I92" s="49"/>
      <c r="J92" s="49">
        <f>L92+O92</f>
        <v>347197</v>
      </c>
      <c r="K92" s="49">
        <f>K142</f>
        <v>347197</v>
      </c>
      <c r="L92" s="49"/>
      <c r="M92" s="49"/>
      <c r="N92" s="49"/>
      <c r="O92" s="49">
        <f>K92</f>
        <v>347197</v>
      </c>
      <c r="P92" s="80">
        <f t="shared" si="16"/>
        <v>347197</v>
      </c>
      <c r="Q92" s="8"/>
      <c r="R92" s="8"/>
      <c r="S92" s="8"/>
      <c r="T92" s="8"/>
      <c r="U92" s="8"/>
    </row>
    <row r="93" spans="1:21" s="9" customFormat="1" ht="16.5" customHeight="1" x14ac:dyDescent="0.2">
      <c r="A93" s="84" t="s">
        <v>207</v>
      </c>
      <c r="B93" s="85"/>
      <c r="C93" s="86"/>
      <c r="D93" s="152" t="s">
        <v>93</v>
      </c>
      <c r="E93" s="79">
        <f>E94+E95+E102+E109+E113+E121+E130+E136+E131+E132+E114+E123+E139</f>
        <v>109968780</v>
      </c>
      <c r="F93" s="79">
        <f>F94+F95+F102+F109+F113+F121+F130+F136+F131+F132+F114+F123+F139</f>
        <v>109968780</v>
      </c>
      <c r="G93" s="79">
        <f>G94+G95+G102+G109+G113+G121+G130+G136+G131+G132+G114</f>
        <v>1667300</v>
      </c>
      <c r="H93" s="79">
        <f>H94+H95+H102+H109+H113+H121+H130+H136+H131+H132+H114</f>
        <v>11500</v>
      </c>
      <c r="I93" s="79">
        <f>I94+I95+I102+I109+I113+I121+I130+I136+I131+I132+I114</f>
        <v>0</v>
      </c>
      <c r="J93" s="79">
        <f>J94+J95+J102+J109+J113+J121+J130+J136</f>
        <v>19502907</v>
      </c>
      <c r="K93" s="79">
        <f>K94+K95+K102+K109+K113+K121+K130+K136+K141</f>
        <v>19502907</v>
      </c>
      <c r="L93" s="79">
        <f>L94+L95+L102+L109+L113+L121+L130+L136</f>
        <v>0</v>
      </c>
      <c r="M93" s="79">
        <f>M94+M95+M102+M109+M113+M121+M130+M136</f>
        <v>0</v>
      </c>
      <c r="N93" s="79">
        <f>N94+N95+N102+N109+N113+N121+N130+N136</f>
        <v>0</v>
      </c>
      <c r="O93" s="79">
        <f>O94+O95+O102+O109+O113+O121+O130+O136</f>
        <v>19502907</v>
      </c>
      <c r="P93" s="79">
        <f>P94+P95+P102+P109+P113+P121+P130+P136+P123+P131+P132+P114+P139</f>
        <v>129471687</v>
      </c>
      <c r="Q93" s="139"/>
      <c r="R93" s="139"/>
      <c r="S93" s="139"/>
      <c r="T93" s="139"/>
      <c r="U93" s="139"/>
    </row>
    <row r="94" spans="1:21" s="19" customFormat="1" ht="25.5" x14ac:dyDescent="0.2">
      <c r="A94" s="38" t="s">
        <v>208</v>
      </c>
      <c r="B94" s="25" t="s">
        <v>196</v>
      </c>
      <c r="C94" s="25" t="s">
        <v>121</v>
      </c>
      <c r="D94" s="76" t="s">
        <v>195</v>
      </c>
      <c r="E94" s="50">
        <f t="shared" ref="E94:E133" si="19">F94+I94</f>
        <v>2106500</v>
      </c>
      <c r="F94" s="51">
        <f>1938900+282600-170000+55000</f>
        <v>2106500</v>
      </c>
      <c r="G94" s="51">
        <f>1530700+231700-139400+44300</f>
        <v>1667300</v>
      </c>
      <c r="H94" s="51">
        <v>11500</v>
      </c>
      <c r="I94" s="51"/>
      <c r="J94" s="50">
        <f t="shared" ref="J94:J142" si="20">L94+O94</f>
        <v>0</v>
      </c>
      <c r="K94" s="51"/>
      <c r="L94" s="51"/>
      <c r="M94" s="51"/>
      <c r="N94" s="51"/>
      <c r="O94" s="51">
        <f>K94</f>
        <v>0</v>
      </c>
      <c r="P94" s="66">
        <f t="shared" si="16"/>
        <v>2106500</v>
      </c>
    </row>
    <row r="95" spans="1:21" x14ac:dyDescent="0.2">
      <c r="A95" s="38" t="s">
        <v>209</v>
      </c>
      <c r="B95" s="46" t="s">
        <v>34</v>
      </c>
      <c r="C95" s="46" t="s">
        <v>3</v>
      </c>
      <c r="D95" s="55" t="s">
        <v>94</v>
      </c>
      <c r="E95" s="50">
        <f t="shared" si="19"/>
        <v>64764901</v>
      </c>
      <c r="F95" s="51">
        <f>60381701-900000+625500-150000+807700+4000000</f>
        <v>64764901</v>
      </c>
      <c r="G95" s="51"/>
      <c r="H95" s="51"/>
      <c r="I95" s="51"/>
      <c r="J95" s="50">
        <f t="shared" si="20"/>
        <v>14249610</v>
      </c>
      <c r="K95" s="51">
        <f>9286710+800000+2000+2410900+250000+1500000</f>
        <v>14249610</v>
      </c>
      <c r="L95" s="51"/>
      <c r="M95" s="51"/>
      <c r="N95" s="51"/>
      <c r="O95" s="51">
        <f>K95</f>
        <v>14249610</v>
      </c>
      <c r="P95" s="66">
        <f t="shared" si="16"/>
        <v>79014511</v>
      </c>
      <c r="Q95" s="19"/>
      <c r="R95" s="19"/>
      <c r="S95" s="19"/>
      <c r="T95" s="19"/>
      <c r="U95" s="19"/>
    </row>
    <row r="96" spans="1:21" ht="15" customHeight="1" x14ac:dyDescent="0.2">
      <c r="A96" s="38"/>
      <c r="B96" s="46"/>
      <c r="C96" s="46"/>
      <c r="D96" s="40" t="s">
        <v>95</v>
      </c>
      <c r="E96" s="47">
        <f t="shared" si="19"/>
        <v>24579600</v>
      </c>
      <c r="F96" s="83">
        <f>24654100-74500</f>
        <v>24579600</v>
      </c>
      <c r="G96" s="51"/>
      <c r="H96" s="51"/>
      <c r="I96" s="51"/>
      <c r="J96" s="50">
        <f t="shared" si="20"/>
        <v>74500</v>
      </c>
      <c r="K96" s="51">
        <v>74500</v>
      </c>
      <c r="L96" s="51"/>
      <c r="M96" s="51"/>
      <c r="N96" s="51"/>
      <c r="O96" s="51">
        <f t="shared" ref="O96:O123" si="21">K96</f>
        <v>74500</v>
      </c>
      <c r="P96" s="66">
        <f t="shared" si="16"/>
        <v>24654100</v>
      </c>
      <c r="Q96" s="19"/>
      <c r="R96" s="19"/>
      <c r="S96" s="19"/>
      <c r="T96" s="19"/>
      <c r="U96" s="19"/>
    </row>
    <row r="97" spans="1:21" s="10" customFormat="1" ht="51.75" customHeight="1" x14ac:dyDescent="0.2">
      <c r="A97" s="37"/>
      <c r="B97" s="21"/>
      <c r="C97" s="21"/>
      <c r="D97" s="40" t="s">
        <v>650</v>
      </c>
      <c r="E97" s="47">
        <f t="shared" si="19"/>
        <v>4807700</v>
      </c>
      <c r="F97" s="83">
        <v>4807700</v>
      </c>
      <c r="G97" s="83"/>
      <c r="H97" s="83"/>
      <c r="I97" s="83"/>
      <c r="J97" s="50">
        <f t="shared" si="20"/>
        <v>0</v>
      </c>
      <c r="K97" s="83"/>
      <c r="L97" s="83"/>
      <c r="M97" s="83"/>
      <c r="N97" s="83"/>
      <c r="O97" s="83"/>
      <c r="P97" s="66">
        <f t="shared" si="16"/>
        <v>4807700</v>
      </c>
      <c r="Q97" s="8"/>
      <c r="R97" s="8"/>
      <c r="S97" s="8"/>
      <c r="T97" s="8"/>
      <c r="U97" s="8"/>
    </row>
    <row r="98" spans="1:21" s="10" customFormat="1" ht="63.75" x14ac:dyDescent="0.2">
      <c r="A98" s="37"/>
      <c r="B98" s="21"/>
      <c r="C98" s="21"/>
      <c r="D98" s="41" t="s">
        <v>651</v>
      </c>
      <c r="E98" s="47">
        <f t="shared" si="19"/>
        <v>0</v>
      </c>
      <c r="F98" s="83"/>
      <c r="G98" s="83"/>
      <c r="H98" s="83"/>
      <c r="I98" s="83"/>
      <c r="J98" s="47">
        <f t="shared" si="20"/>
        <v>250000</v>
      </c>
      <c r="K98" s="83">
        <v>250000</v>
      </c>
      <c r="L98" s="83"/>
      <c r="M98" s="83"/>
      <c r="N98" s="83"/>
      <c r="O98" s="83">
        <f t="shared" si="21"/>
        <v>250000</v>
      </c>
      <c r="P98" s="80">
        <f t="shared" si="16"/>
        <v>250000</v>
      </c>
      <c r="Q98" s="8"/>
      <c r="R98" s="8"/>
      <c r="S98" s="8"/>
      <c r="T98" s="8"/>
      <c r="U98" s="8"/>
    </row>
    <row r="99" spans="1:21" ht="15.75" customHeight="1" x14ac:dyDescent="0.2">
      <c r="A99" s="38"/>
      <c r="B99" s="46"/>
      <c r="C99" s="46"/>
      <c r="D99" s="40" t="s">
        <v>510</v>
      </c>
      <c r="E99" s="47"/>
      <c r="F99" s="83"/>
      <c r="G99" s="51"/>
      <c r="H99" s="51"/>
      <c r="I99" s="51"/>
      <c r="J99" s="50">
        <f t="shared" si="20"/>
        <v>6147000</v>
      </c>
      <c r="K99" s="51">
        <f>100000+6047000</f>
        <v>6147000</v>
      </c>
      <c r="L99" s="51"/>
      <c r="M99" s="51"/>
      <c r="N99" s="51"/>
      <c r="O99" s="51">
        <f>K99</f>
        <v>6147000</v>
      </c>
      <c r="P99" s="80">
        <f t="shared" si="16"/>
        <v>6147000</v>
      </c>
      <c r="Q99" s="19"/>
      <c r="R99" s="19"/>
      <c r="S99" s="19"/>
      <c r="T99" s="19"/>
      <c r="U99" s="19"/>
    </row>
    <row r="100" spans="1:21" ht="25.5" x14ac:dyDescent="0.2">
      <c r="A100" s="38"/>
      <c r="B100" s="46"/>
      <c r="C100" s="46"/>
      <c r="D100" s="40" t="s">
        <v>633</v>
      </c>
      <c r="E100" s="47">
        <f t="shared" si="19"/>
        <v>518701</v>
      </c>
      <c r="F100" s="83">
        <v>518701</v>
      </c>
      <c r="G100" s="51"/>
      <c r="H100" s="51"/>
      <c r="I100" s="51"/>
      <c r="J100" s="50">
        <f t="shared" si="20"/>
        <v>0</v>
      </c>
      <c r="K100" s="51"/>
      <c r="L100" s="51"/>
      <c r="M100" s="51"/>
      <c r="N100" s="51"/>
      <c r="O100" s="51">
        <f t="shared" si="21"/>
        <v>0</v>
      </c>
      <c r="P100" s="66">
        <f t="shared" si="16"/>
        <v>518701</v>
      </c>
      <c r="Q100" s="19"/>
      <c r="R100" s="19"/>
      <c r="S100" s="19"/>
      <c r="T100" s="19"/>
      <c r="U100" s="19"/>
    </row>
    <row r="101" spans="1:21" ht="28.5" customHeight="1" x14ac:dyDescent="0.2">
      <c r="A101" s="38"/>
      <c r="B101" s="46"/>
      <c r="C101" s="46"/>
      <c r="D101" s="23" t="s">
        <v>508</v>
      </c>
      <c r="E101" s="47">
        <f t="shared" si="19"/>
        <v>0</v>
      </c>
      <c r="F101" s="83"/>
      <c r="G101" s="51"/>
      <c r="H101" s="51"/>
      <c r="I101" s="51"/>
      <c r="J101" s="47">
        <f t="shared" si="20"/>
        <v>1857908</v>
      </c>
      <c r="K101" s="83">
        <v>1857908</v>
      </c>
      <c r="L101" s="51"/>
      <c r="M101" s="51"/>
      <c r="N101" s="51"/>
      <c r="O101" s="83">
        <f t="shared" si="21"/>
        <v>1857908</v>
      </c>
      <c r="P101" s="66">
        <f t="shared" si="16"/>
        <v>1857908</v>
      </c>
      <c r="Q101" s="19"/>
      <c r="R101" s="19"/>
      <c r="S101" s="19"/>
      <c r="T101" s="19"/>
      <c r="U101" s="19"/>
    </row>
    <row r="102" spans="1:21" x14ac:dyDescent="0.2">
      <c r="A102" s="38" t="s">
        <v>211</v>
      </c>
      <c r="B102" s="46" t="s">
        <v>210</v>
      </c>
      <c r="C102" s="46" t="s">
        <v>4</v>
      </c>
      <c r="D102" s="153" t="s">
        <v>96</v>
      </c>
      <c r="E102" s="50">
        <f t="shared" si="19"/>
        <v>18346200</v>
      </c>
      <c r="F102" s="51">
        <f>16770900+900000+525300+150000</f>
        <v>18346200</v>
      </c>
      <c r="G102" s="51"/>
      <c r="H102" s="51"/>
      <c r="I102" s="51"/>
      <c r="J102" s="50">
        <f t="shared" si="20"/>
        <v>1861300</v>
      </c>
      <c r="K102" s="51">
        <f>438300+1423000</f>
        <v>1861300</v>
      </c>
      <c r="L102" s="51"/>
      <c r="M102" s="51"/>
      <c r="N102" s="51"/>
      <c r="O102" s="51">
        <f t="shared" si="21"/>
        <v>1861300</v>
      </c>
      <c r="P102" s="66">
        <f t="shared" si="16"/>
        <v>20207500</v>
      </c>
      <c r="Q102" s="19"/>
      <c r="R102" s="19"/>
      <c r="S102" s="19"/>
      <c r="T102" s="19"/>
      <c r="U102" s="19"/>
    </row>
    <row r="103" spans="1:21" s="10" customFormat="1" ht="56.25" customHeight="1" x14ac:dyDescent="0.2">
      <c r="A103" s="37"/>
      <c r="B103" s="21"/>
      <c r="C103" s="21"/>
      <c r="D103" s="40" t="s">
        <v>650</v>
      </c>
      <c r="E103" s="47">
        <f t="shared" si="19"/>
        <v>0</v>
      </c>
      <c r="F103" s="83"/>
      <c r="G103" s="83"/>
      <c r="H103" s="83"/>
      <c r="I103" s="83"/>
      <c r="J103" s="47">
        <f t="shared" si="20"/>
        <v>0</v>
      </c>
      <c r="K103" s="83">
        <v>1423000</v>
      </c>
      <c r="L103" s="83"/>
      <c r="M103" s="83"/>
      <c r="N103" s="83"/>
      <c r="O103" s="83"/>
      <c r="P103" s="80">
        <f t="shared" si="16"/>
        <v>0</v>
      </c>
      <c r="Q103" s="8"/>
      <c r="R103" s="8"/>
      <c r="S103" s="8"/>
      <c r="T103" s="8"/>
      <c r="U103" s="8"/>
    </row>
    <row r="104" spans="1:21" x14ac:dyDescent="0.2">
      <c r="A104" s="38"/>
      <c r="B104" s="46"/>
      <c r="C104" s="46"/>
      <c r="D104" s="40" t="s">
        <v>95</v>
      </c>
      <c r="E104" s="47">
        <f t="shared" si="19"/>
        <v>5896500</v>
      </c>
      <c r="F104" s="83">
        <v>5896500</v>
      </c>
      <c r="G104" s="51"/>
      <c r="H104" s="51"/>
      <c r="I104" s="51"/>
      <c r="J104" s="50">
        <f t="shared" si="20"/>
        <v>0</v>
      </c>
      <c r="K104" s="51"/>
      <c r="L104" s="51"/>
      <c r="M104" s="51"/>
      <c r="N104" s="51"/>
      <c r="O104" s="51">
        <f t="shared" si="21"/>
        <v>0</v>
      </c>
      <c r="P104" s="66">
        <f t="shared" si="16"/>
        <v>5896500</v>
      </c>
      <c r="Q104" s="19"/>
      <c r="R104" s="19"/>
      <c r="S104" s="19"/>
      <c r="T104" s="19"/>
      <c r="U104" s="19"/>
    </row>
    <row r="105" spans="1:21" hidden="1" x14ac:dyDescent="0.2">
      <c r="A105" s="38" t="s">
        <v>214</v>
      </c>
      <c r="B105" s="46" t="s">
        <v>213</v>
      </c>
      <c r="C105" s="46" t="s">
        <v>6</v>
      </c>
      <c r="D105" s="55" t="s">
        <v>212</v>
      </c>
      <c r="E105" s="50">
        <f t="shared" si="19"/>
        <v>0</v>
      </c>
      <c r="F105" s="51"/>
      <c r="G105" s="51"/>
      <c r="H105" s="51"/>
      <c r="I105" s="51"/>
      <c r="J105" s="50">
        <f t="shared" si="20"/>
        <v>0</v>
      </c>
      <c r="K105" s="51"/>
      <c r="L105" s="51"/>
      <c r="M105" s="51"/>
      <c r="N105" s="51"/>
      <c r="O105" s="51">
        <f t="shared" si="21"/>
        <v>0</v>
      </c>
      <c r="P105" s="66">
        <f t="shared" si="16"/>
        <v>0</v>
      </c>
      <c r="Q105" s="19"/>
      <c r="R105" s="19"/>
      <c r="S105" s="19"/>
      <c r="T105" s="19"/>
      <c r="U105" s="19"/>
    </row>
    <row r="106" spans="1:21" hidden="1" x14ac:dyDescent="0.2">
      <c r="A106" s="38"/>
      <c r="B106" s="46"/>
      <c r="C106" s="46"/>
      <c r="D106" s="40" t="s">
        <v>95</v>
      </c>
      <c r="E106" s="50">
        <f t="shared" si="19"/>
        <v>0</v>
      </c>
      <c r="F106" s="51"/>
      <c r="G106" s="51"/>
      <c r="H106" s="51"/>
      <c r="I106" s="51"/>
      <c r="J106" s="50">
        <f t="shared" si="20"/>
        <v>0</v>
      </c>
      <c r="K106" s="51"/>
      <c r="L106" s="51"/>
      <c r="M106" s="51"/>
      <c r="N106" s="51"/>
      <c r="O106" s="51">
        <f t="shared" si="21"/>
        <v>0</v>
      </c>
      <c r="P106" s="66">
        <f t="shared" si="16"/>
        <v>0</v>
      </c>
      <c r="Q106" s="19"/>
      <c r="R106" s="19"/>
      <c r="S106" s="19"/>
      <c r="T106" s="19"/>
      <c r="U106" s="19"/>
    </row>
    <row r="107" spans="1:21" ht="25.5" hidden="1" x14ac:dyDescent="0.2">
      <c r="A107" s="38"/>
      <c r="B107" s="46"/>
      <c r="C107" s="46"/>
      <c r="D107" s="40" t="s">
        <v>495</v>
      </c>
      <c r="E107" s="50"/>
      <c r="F107" s="51"/>
      <c r="G107" s="51"/>
      <c r="H107" s="51"/>
      <c r="I107" s="51"/>
      <c r="J107" s="47">
        <f t="shared" si="20"/>
        <v>0</v>
      </c>
      <c r="K107" s="83"/>
      <c r="L107" s="51"/>
      <c r="M107" s="51"/>
      <c r="N107" s="51"/>
      <c r="O107" s="83">
        <f t="shared" si="21"/>
        <v>0</v>
      </c>
      <c r="P107" s="66">
        <f t="shared" si="16"/>
        <v>0</v>
      </c>
      <c r="Q107" s="19"/>
      <c r="R107" s="19"/>
      <c r="S107" s="19"/>
      <c r="T107" s="19"/>
      <c r="U107" s="19"/>
    </row>
    <row r="108" spans="1:21" ht="25.5" hidden="1" x14ac:dyDescent="0.2">
      <c r="A108" s="38"/>
      <c r="B108" s="46"/>
      <c r="C108" s="46"/>
      <c r="D108" s="23" t="s">
        <v>508</v>
      </c>
      <c r="E108" s="47">
        <f>F108</f>
        <v>0</v>
      </c>
      <c r="F108" s="83"/>
      <c r="G108" s="51"/>
      <c r="H108" s="51"/>
      <c r="I108" s="51"/>
      <c r="J108" s="47"/>
      <c r="K108" s="83"/>
      <c r="L108" s="51"/>
      <c r="M108" s="51"/>
      <c r="N108" s="51"/>
      <c r="O108" s="83"/>
      <c r="P108" s="66">
        <f t="shared" si="16"/>
        <v>0</v>
      </c>
      <c r="Q108" s="19"/>
      <c r="R108" s="19"/>
      <c r="S108" s="19"/>
      <c r="T108" s="19"/>
      <c r="U108" s="19"/>
    </row>
    <row r="109" spans="1:21" ht="15.75" hidden="1" x14ac:dyDescent="0.25">
      <c r="A109" s="38" t="s">
        <v>577</v>
      </c>
      <c r="B109" s="46" t="s">
        <v>578</v>
      </c>
      <c r="C109" s="46" t="s">
        <v>6</v>
      </c>
      <c r="D109" s="17" t="s">
        <v>579</v>
      </c>
      <c r="E109" s="50">
        <f>F109+I109</f>
        <v>0</v>
      </c>
      <c r="F109" s="51"/>
      <c r="G109" s="51"/>
      <c r="H109" s="51"/>
      <c r="I109" s="51"/>
      <c r="J109" s="50">
        <f t="shared" si="20"/>
        <v>0</v>
      </c>
      <c r="K109" s="51"/>
      <c r="L109" s="51"/>
      <c r="M109" s="51"/>
      <c r="N109" s="51"/>
      <c r="O109" s="51">
        <f>K109</f>
        <v>0</v>
      </c>
      <c r="P109" s="66">
        <f t="shared" si="16"/>
        <v>0</v>
      </c>
      <c r="Q109" s="19"/>
      <c r="R109" s="19"/>
      <c r="S109" s="19"/>
      <c r="T109" s="19"/>
      <c r="U109" s="19"/>
    </row>
    <row r="110" spans="1:21" s="10" customFormat="1" hidden="1" x14ac:dyDescent="0.2">
      <c r="A110" s="37"/>
      <c r="B110" s="21"/>
      <c r="C110" s="21"/>
      <c r="D110" s="40" t="s">
        <v>95</v>
      </c>
      <c r="E110" s="47">
        <f>F110</f>
        <v>0</v>
      </c>
      <c r="F110" s="83"/>
      <c r="G110" s="83"/>
      <c r="H110" s="83"/>
      <c r="I110" s="83"/>
      <c r="J110" s="47">
        <f t="shared" si="20"/>
        <v>0</v>
      </c>
      <c r="K110" s="83"/>
      <c r="L110" s="83"/>
      <c r="M110" s="83"/>
      <c r="N110" s="83"/>
      <c r="O110" s="83">
        <f>K110</f>
        <v>0</v>
      </c>
      <c r="P110" s="66">
        <f>E110</f>
        <v>0</v>
      </c>
      <c r="Q110" s="8"/>
      <c r="R110" s="8"/>
      <c r="S110" s="8"/>
      <c r="T110" s="8"/>
      <c r="U110" s="8"/>
    </row>
    <row r="111" spans="1:21" s="10" customFormat="1" ht="25.5" hidden="1" x14ac:dyDescent="0.2">
      <c r="A111" s="37"/>
      <c r="B111" s="21"/>
      <c r="C111" s="21"/>
      <c r="D111" s="40" t="s">
        <v>495</v>
      </c>
      <c r="E111" s="47">
        <f>F111</f>
        <v>0</v>
      </c>
      <c r="F111" s="83"/>
      <c r="G111" s="83"/>
      <c r="H111" s="83"/>
      <c r="I111" s="83"/>
      <c r="J111" s="47">
        <f t="shared" si="20"/>
        <v>0</v>
      </c>
      <c r="K111" s="83"/>
      <c r="L111" s="83"/>
      <c r="M111" s="83"/>
      <c r="N111" s="83"/>
      <c r="O111" s="83">
        <f>K111</f>
        <v>0</v>
      </c>
      <c r="P111" s="66">
        <f t="shared" si="16"/>
        <v>0</v>
      </c>
      <c r="Q111" s="8"/>
      <c r="R111" s="8"/>
      <c r="S111" s="8"/>
      <c r="T111" s="8"/>
      <c r="U111" s="8"/>
    </row>
    <row r="112" spans="1:21" s="10" customFormat="1" ht="25.5" hidden="1" x14ac:dyDescent="0.2">
      <c r="A112" s="37"/>
      <c r="B112" s="21"/>
      <c r="C112" s="21"/>
      <c r="D112" s="23" t="s">
        <v>508</v>
      </c>
      <c r="E112" s="47">
        <f>F112</f>
        <v>0</v>
      </c>
      <c r="F112" s="83"/>
      <c r="G112" s="83"/>
      <c r="H112" s="83"/>
      <c r="I112" s="83"/>
      <c r="J112" s="47"/>
      <c r="K112" s="83"/>
      <c r="L112" s="83"/>
      <c r="M112" s="83"/>
      <c r="N112" s="83"/>
      <c r="O112" s="83"/>
      <c r="P112" s="66">
        <f>E112</f>
        <v>0</v>
      </c>
      <c r="Q112" s="8"/>
      <c r="R112" s="8"/>
      <c r="S112" s="8"/>
      <c r="T112" s="8"/>
      <c r="U112" s="8"/>
    </row>
    <row r="113" spans="1:21" hidden="1" x14ac:dyDescent="0.2">
      <c r="A113" s="38" t="s">
        <v>219</v>
      </c>
      <c r="B113" s="46" t="s">
        <v>218</v>
      </c>
      <c r="C113" s="46"/>
      <c r="D113" s="57" t="s">
        <v>452</v>
      </c>
      <c r="E113" s="50">
        <f t="shared" ref="E113:E118" si="22">F113+I113</f>
        <v>0</v>
      </c>
      <c r="F113" s="51"/>
      <c r="G113" s="51"/>
      <c r="H113" s="51"/>
      <c r="I113" s="51">
        <f>I114</f>
        <v>0</v>
      </c>
      <c r="J113" s="50">
        <f>L113+O113</f>
        <v>0</v>
      </c>
      <c r="K113" s="51"/>
      <c r="L113" s="51"/>
      <c r="M113" s="51"/>
      <c r="N113" s="51">
        <f>N114</f>
        <v>0</v>
      </c>
      <c r="O113" s="51">
        <f t="shared" si="21"/>
        <v>0</v>
      </c>
      <c r="P113" s="66">
        <f t="shared" ref="P113:P143" si="23">E113+J113</f>
        <v>0</v>
      </c>
      <c r="Q113" s="19"/>
      <c r="R113" s="19"/>
      <c r="S113" s="19"/>
      <c r="T113" s="19"/>
      <c r="U113" s="19"/>
    </row>
    <row r="114" spans="1:21" s="10" customFormat="1" ht="25.5" x14ac:dyDescent="0.2">
      <c r="A114" s="37" t="s">
        <v>222</v>
      </c>
      <c r="B114" s="21" t="s">
        <v>221</v>
      </c>
      <c r="C114" s="21" t="s">
        <v>478</v>
      </c>
      <c r="D114" s="22" t="s">
        <v>220</v>
      </c>
      <c r="E114" s="47">
        <f t="shared" si="22"/>
        <v>5035600</v>
      </c>
      <c r="F114" s="83">
        <f>19835600-14600000-200000</f>
        <v>5035600</v>
      </c>
      <c r="G114" s="83"/>
      <c r="H114" s="83"/>
      <c r="I114" s="83"/>
      <c r="J114" s="50">
        <f>L114+O114</f>
        <v>0</v>
      </c>
      <c r="K114" s="51"/>
      <c r="L114" s="51"/>
      <c r="M114" s="51"/>
      <c r="N114" s="51"/>
      <c r="O114" s="51">
        <f t="shared" si="21"/>
        <v>0</v>
      </c>
      <c r="P114" s="66">
        <f t="shared" si="23"/>
        <v>5035600</v>
      </c>
      <c r="Q114" s="8"/>
      <c r="R114" s="8"/>
      <c r="S114" s="8"/>
      <c r="T114" s="8"/>
      <c r="U114" s="8"/>
    </row>
    <row r="115" spans="1:21" hidden="1" x14ac:dyDescent="0.2">
      <c r="A115" s="38"/>
      <c r="B115" s="46"/>
      <c r="C115" s="46"/>
      <c r="D115" s="40" t="s">
        <v>95</v>
      </c>
      <c r="E115" s="47">
        <f t="shared" si="22"/>
        <v>0</v>
      </c>
      <c r="F115" s="51"/>
      <c r="G115" s="51"/>
      <c r="H115" s="51"/>
      <c r="I115" s="51"/>
      <c r="J115" s="47">
        <f>L115+O115</f>
        <v>0</v>
      </c>
      <c r="K115" s="51"/>
      <c r="L115" s="51"/>
      <c r="M115" s="51"/>
      <c r="N115" s="51"/>
      <c r="O115" s="51">
        <f t="shared" si="21"/>
        <v>0</v>
      </c>
      <c r="P115" s="66">
        <f t="shared" si="23"/>
        <v>0</v>
      </c>
      <c r="Q115" s="19"/>
      <c r="R115" s="19"/>
      <c r="S115" s="19"/>
      <c r="T115" s="19"/>
      <c r="U115" s="19"/>
    </row>
    <row r="116" spans="1:21" ht="25.5" hidden="1" x14ac:dyDescent="0.2">
      <c r="A116" s="38"/>
      <c r="B116" s="46"/>
      <c r="C116" s="46"/>
      <c r="D116" s="40" t="s">
        <v>162</v>
      </c>
      <c r="E116" s="47">
        <f t="shared" si="22"/>
        <v>0</v>
      </c>
      <c r="F116" s="51"/>
      <c r="G116" s="51"/>
      <c r="H116" s="51"/>
      <c r="I116" s="51"/>
      <c r="J116" s="47">
        <f>L116+O116</f>
        <v>0</v>
      </c>
      <c r="K116" s="51"/>
      <c r="L116" s="51"/>
      <c r="M116" s="51"/>
      <c r="N116" s="51"/>
      <c r="O116" s="51">
        <f t="shared" si="21"/>
        <v>0</v>
      </c>
      <c r="P116" s="66">
        <f t="shared" si="23"/>
        <v>0</v>
      </c>
      <c r="Q116" s="19"/>
      <c r="R116" s="19"/>
      <c r="S116" s="19"/>
      <c r="T116" s="19"/>
      <c r="U116" s="19"/>
    </row>
    <row r="117" spans="1:21" s="10" customFormat="1" hidden="1" x14ac:dyDescent="0.2">
      <c r="A117" s="37"/>
      <c r="B117" s="21"/>
      <c r="C117" s="21"/>
      <c r="D117" s="40" t="s">
        <v>95</v>
      </c>
      <c r="E117" s="47">
        <f t="shared" si="22"/>
        <v>0</v>
      </c>
      <c r="F117" s="83"/>
      <c r="G117" s="83"/>
      <c r="H117" s="83"/>
      <c r="I117" s="83"/>
      <c r="J117" s="47">
        <f>L117+O117</f>
        <v>0</v>
      </c>
      <c r="K117" s="83"/>
      <c r="L117" s="83"/>
      <c r="M117" s="83"/>
      <c r="N117" s="83"/>
      <c r="O117" s="51">
        <f t="shared" si="21"/>
        <v>0</v>
      </c>
      <c r="P117" s="66">
        <f t="shared" si="23"/>
        <v>0</v>
      </c>
      <c r="Q117" s="8"/>
      <c r="R117" s="8"/>
      <c r="S117" s="8"/>
      <c r="T117" s="8"/>
      <c r="U117" s="8"/>
    </row>
    <row r="118" spans="1:21" s="10" customFormat="1" ht="25.5" hidden="1" x14ac:dyDescent="0.2">
      <c r="A118" s="37"/>
      <c r="B118" s="21"/>
      <c r="C118" s="21"/>
      <c r="D118" s="40" t="s">
        <v>495</v>
      </c>
      <c r="E118" s="47">
        <f t="shared" si="22"/>
        <v>0</v>
      </c>
      <c r="F118" s="83"/>
      <c r="G118" s="83"/>
      <c r="H118" s="83"/>
      <c r="I118" s="83"/>
      <c r="J118" s="50">
        <f t="shared" si="20"/>
        <v>0</v>
      </c>
      <c r="K118" s="83"/>
      <c r="L118" s="83"/>
      <c r="M118" s="83"/>
      <c r="N118" s="83"/>
      <c r="O118" s="51">
        <f t="shared" si="21"/>
        <v>0</v>
      </c>
      <c r="P118" s="66">
        <f t="shared" si="23"/>
        <v>0</v>
      </c>
      <c r="Q118" s="8"/>
      <c r="R118" s="8"/>
      <c r="S118" s="8"/>
      <c r="T118" s="8"/>
      <c r="U118" s="8"/>
    </row>
    <row r="119" spans="1:21" hidden="1" x14ac:dyDescent="0.2">
      <c r="A119" s="38" t="s">
        <v>217</v>
      </c>
      <c r="B119" s="46" t="s">
        <v>216</v>
      </c>
      <c r="C119" s="46" t="s">
        <v>7</v>
      </c>
      <c r="D119" s="57" t="s">
        <v>215</v>
      </c>
      <c r="E119" s="50">
        <f t="shared" si="19"/>
        <v>0</v>
      </c>
      <c r="F119" s="51"/>
      <c r="G119" s="51"/>
      <c r="H119" s="51"/>
      <c r="I119" s="51"/>
      <c r="J119" s="50">
        <f t="shared" si="20"/>
        <v>0</v>
      </c>
      <c r="K119" s="51"/>
      <c r="L119" s="51"/>
      <c r="M119" s="51"/>
      <c r="N119" s="51"/>
      <c r="O119" s="51">
        <f t="shared" si="21"/>
        <v>0</v>
      </c>
      <c r="P119" s="66">
        <f t="shared" si="23"/>
        <v>0</v>
      </c>
      <c r="Q119" s="19"/>
      <c r="R119" s="19"/>
      <c r="S119" s="19"/>
      <c r="T119" s="19"/>
      <c r="U119" s="19"/>
    </row>
    <row r="120" spans="1:21" hidden="1" x14ac:dyDescent="0.2">
      <c r="A120" s="38"/>
      <c r="B120" s="46"/>
      <c r="C120" s="46"/>
      <c r="D120" s="40" t="s">
        <v>95</v>
      </c>
      <c r="E120" s="50">
        <f t="shared" si="19"/>
        <v>0</v>
      </c>
      <c r="F120" s="51"/>
      <c r="G120" s="51"/>
      <c r="H120" s="51"/>
      <c r="I120" s="51"/>
      <c r="J120" s="50">
        <f t="shared" si="20"/>
        <v>0</v>
      </c>
      <c r="K120" s="51"/>
      <c r="L120" s="51"/>
      <c r="M120" s="51"/>
      <c r="N120" s="51"/>
      <c r="O120" s="51">
        <f t="shared" si="21"/>
        <v>0</v>
      </c>
      <c r="P120" s="66">
        <f t="shared" si="23"/>
        <v>0</v>
      </c>
      <c r="Q120" s="19"/>
      <c r="R120" s="19"/>
      <c r="S120" s="19"/>
      <c r="T120" s="19"/>
      <c r="U120" s="19"/>
    </row>
    <row r="121" spans="1:21" hidden="1" x14ac:dyDescent="0.2">
      <c r="A121" s="38" t="s">
        <v>224</v>
      </c>
      <c r="B121" s="46" t="s">
        <v>35</v>
      </c>
      <c r="C121" s="46"/>
      <c r="D121" s="58" t="s">
        <v>223</v>
      </c>
      <c r="E121" s="50">
        <f t="shared" si="19"/>
        <v>0</v>
      </c>
      <c r="F121" s="51"/>
      <c r="G121" s="51"/>
      <c r="H121" s="51"/>
      <c r="I121" s="51">
        <f>I122+I123+I127</f>
        <v>0</v>
      </c>
      <c r="J121" s="50">
        <f t="shared" si="20"/>
        <v>0</v>
      </c>
      <c r="K121" s="51"/>
      <c r="L121" s="51"/>
      <c r="M121" s="51"/>
      <c r="N121" s="51">
        <f>N122+N123+N127</f>
        <v>0</v>
      </c>
      <c r="O121" s="51">
        <f t="shared" si="21"/>
        <v>0</v>
      </c>
      <c r="P121" s="66">
        <f t="shared" si="23"/>
        <v>0</v>
      </c>
      <c r="Q121" s="19"/>
      <c r="R121" s="19"/>
      <c r="S121" s="19"/>
      <c r="T121" s="19"/>
      <c r="U121" s="19"/>
    </row>
    <row r="122" spans="1:21" s="10" customFormat="1" hidden="1" x14ac:dyDescent="0.2">
      <c r="A122" s="37" t="s">
        <v>227</v>
      </c>
      <c r="B122" s="21" t="s">
        <v>226</v>
      </c>
      <c r="C122" s="21" t="s">
        <v>8</v>
      </c>
      <c r="D122" s="23" t="s">
        <v>225</v>
      </c>
      <c r="E122" s="47">
        <f t="shared" si="19"/>
        <v>0</v>
      </c>
      <c r="F122" s="69"/>
      <c r="G122" s="69"/>
      <c r="H122" s="69"/>
      <c r="I122" s="69"/>
      <c r="J122" s="50">
        <f t="shared" si="20"/>
        <v>0</v>
      </c>
      <c r="K122" s="69"/>
      <c r="L122" s="69"/>
      <c r="M122" s="69"/>
      <c r="N122" s="69"/>
      <c r="O122" s="83">
        <f t="shared" si="21"/>
        <v>0</v>
      </c>
      <c r="P122" s="66">
        <f t="shared" si="23"/>
        <v>0</v>
      </c>
      <c r="Q122" s="8"/>
      <c r="R122" s="8"/>
      <c r="S122" s="8"/>
      <c r="T122" s="8"/>
      <c r="U122" s="8"/>
    </row>
    <row r="123" spans="1:21" s="10" customFormat="1" x14ac:dyDescent="0.2">
      <c r="A123" s="37" t="s">
        <v>230</v>
      </c>
      <c r="B123" s="21" t="s">
        <v>229</v>
      </c>
      <c r="C123" s="21" t="s">
        <v>8</v>
      </c>
      <c r="D123" s="23" t="s">
        <v>228</v>
      </c>
      <c r="E123" s="47">
        <f t="shared" si="19"/>
        <v>5765910</v>
      </c>
      <c r="F123" s="69">
        <f>4162701+461000+1142209</f>
        <v>5765910</v>
      </c>
      <c r="G123" s="69"/>
      <c r="H123" s="69"/>
      <c r="I123" s="69"/>
      <c r="J123" s="50">
        <f t="shared" si="20"/>
        <v>0</v>
      </c>
      <c r="K123" s="69"/>
      <c r="L123" s="69"/>
      <c r="M123" s="69"/>
      <c r="N123" s="69"/>
      <c r="O123" s="83">
        <f t="shared" si="21"/>
        <v>0</v>
      </c>
      <c r="P123" s="66">
        <f t="shared" si="23"/>
        <v>5765910</v>
      </c>
      <c r="Q123" s="8"/>
      <c r="R123" s="8"/>
      <c r="S123" s="8"/>
      <c r="T123" s="8"/>
      <c r="U123" s="8"/>
    </row>
    <row r="124" spans="1:21" s="10" customFormat="1" ht="29.25" customHeight="1" x14ac:dyDescent="0.2">
      <c r="A124" s="37"/>
      <c r="B124" s="21"/>
      <c r="C124" s="21"/>
      <c r="D124" s="23" t="s">
        <v>633</v>
      </c>
      <c r="E124" s="47">
        <f t="shared" si="19"/>
        <v>3428064</v>
      </c>
      <c r="F124" s="69">
        <f>2285855+1142209</f>
        <v>3428064</v>
      </c>
      <c r="G124" s="69"/>
      <c r="H124" s="69"/>
      <c r="I124" s="69"/>
      <c r="J124" s="50"/>
      <c r="K124" s="69"/>
      <c r="L124" s="69"/>
      <c r="M124" s="69"/>
      <c r="N124" s="69"/>
      <c r="O124" s="83"/>
      <c r="P124" s="66">
        <f t="shared" si="23"/>
        <v>3428064</v>
      </c>
      <c r="Q124" s="8"/>
      <c r="R124" s="8"/>
      <c r="S124" s="8"/>
      <c r="T124" s="8"/>
      <c r="U124" s="8"/>
    </row>
    <row r="125" spans="1:21" s="10" customFormat="1" ht="27.75" customHeight="1" x14ac:dyDescent="0.2">
      <c r="A125" s="37"/>
      <c r="B125" s="21"/>
      <c r="C125" s="21"/>
      <c r="D125" s="23" t="s">
        <v>627</v>
      </c>
      <c r="E125" s="47">
        <f>F125</f>
        <v>204292</v>
      </c>
      <c r="F125" s="69">
        <v>204292</v>
      </c>
      <c r="G125" s="69"/>
      <c r="H125" s="69"/>
      <c r="I125" s="69"/>
      <c r="J125" s="50"/>
      <c r="K125" s="69"/>
      <c r="L125" s="69"/>
      <c r="M125" s="69"/>
      <c r="N125" s="69"/>
      <c r="O125" s="83"/>
      <c r="P125" s="66">
        <f t="shared" si="23"/>
        <v>204292</v>
      </c>
      <c r="Q125" s="8"/>
      <c r="R125" s="8"/>
      <c r="S125" s="8"/>
      <c r="T125" s="8"/>
      <c r="U125" s="8"/>
    </row>
    <row r="126" spans="1:21" s="10" customFormat="1" ht="25.5" x14ac:dyDescent="0.2">
      <c r="A126" s="37"/>
      <c r="B126" s="21"/>
      <c r="C126" s="21"/>
      <c r="D126" s="23" t="s">
        <v>508</v>
      </c>
      <c r="E126" s="47">
        <f>F126</f>
        <v>737946</v>
      </c>
      <c r="F126" s="69">
        <v>737946</v>
      </c>
      <c r="G126" s="69"/>
      <c r="H126" s="69"/>
      <c r="I126" s="69"/>
      <c r="J126" s="50"/>
      <c r="K126" s="69"/>
      <c r="L126" s="69"/>
      <c r="M126" s="69"/>
      <c r="N126" s="69"/>
      <c r="O126" s="83"/>
      <c r="P126" s="66">
        <f t="shared" si="23"/>
        <v>737946</v>
      </c>
      <c r="Q126" s="8"/>
      <c r="R126" s="8"/>
      <c r="S126" s="8"/>
      <c r="T126" s="8"/>
      <c r="U126" s="8"/>
    </row>
    <row r="127" spans="1:21" s="10" customFormat="1" hidden="1" x14ac:dyDescent="0.2">
      <c r="A127" s="37" t="s">
        <v>233</v>
      </c>
      <c r="B127" s="21" t="s">
        <v>232</v>
      </c>
      <c r="C127" s="21" t="s">
        <v>8</v>
      </c>
      <c r="D127" s="23" t="s">
        <v>231</v>
      </c>
      <c r="E127" s="47">
        <f>F127+I127</f>
        <v>0</v>
      </c>
      <c r="F127" s="69"/>
      <c r="G127" s="69"/>
      <c r="H127" s="69"/>
      <c r="I127" s="69"/>
      <c r="J127" s="50">
        <f t="shared" si="20"/>
        <v>0</v>
      </c>
      <c r="K127" s="69"/>
      <c r="L127" s="69"/>
      <c r="M127" s="69"/>
      <c r="N127" s="69"/>
      <c r="O127" s="83">
        <f>K127</f>
        <v>0</v>
      </c>
      <c r="P127" s="66">
        <f t="shared" si="23"/>
        <v>0</v>
      </c>
      <c r="Q127" s="8"/>
      <c r="R127" s="8"/>
      <c r="S127" s="8"/>
      <c r="T127" s="8"/>
      <c r="U127" s="8"/>
    </row>
    <row r="128" spans="1:21" s="10" customFormat="1" hidden="1" x14ac:dyDescent="0.2">
      <c r="A128" s="37"/>
      <c r="B128" s="21"/>
      <c r="C128" s="21"/>
      <c r="D128" s="23" t="s">
        <v>95</v>
      </c>
      <c r="E128" s="47">
        <f t="shared" si="19"/>
        <v>0</v>
      </c>
      <c r="F128" s="69"/>
      <c r="G128" s="69"/>
      <c r="H128" s="69"/>
      <c r="I128" s="69"/>
      <c r="J128" s="50"/>
      <c r="K128" s="69"/>
      <c r="L128" s="69"/>
      <c r="M128" s="69"/>
      <c r="N128" s="69"/>
      <c r="O128" s="83"/>
      <c r="P128" s="66">
        <f t="shared" si="23"/>
        <v>0</v>
      </c>
      <c r="Q128" s="8"/>
      <c r="R128" s="8"/>
      <c r="S128" s="8"/>
      <c r="T128" s="8"/>
      <c r="U128" s="8"/>
    </row>
    <row r="129" spans="1:21" s="10" customFormat="1" ht="38.25" hidden="1" x14ac:dyDescent="0.2">
      <c r="A129" s="37"/>
      <c r="B129" s="21"/>
      <c r="C129" s="21"/>
      <c r="D129" s="23" t="s">
        <v>509</v>
      </c>
      <c r="E129" s="47"/>
      <c r="F129" s="69"/>
      <c r="G129" s="69"/>
      <c r="H129" s="69"/>
      <c r="I129" s="69"/>
      <c r="J129" s="50"/>
      <c r="K129" s="69"/>
      <c r="L129" s="69"/>
      <c r="M129" s="69"/>
      <c r="N129" s="69"/>
      <c r="O129" s="83"/>
      <c r="P129" s="66">
        <f t="shared" si="23"/>
        <v>0</v>
      </c>
      <c r="Q129" s="8"/>
      <c r="R129" s="8"/>
      <c r="S129" s="8"/>
      <c r="T129" s="8"/>
      <c r="U129" s="8"/>
    </row>
    <row r="130" spans="1:21" hidden="1" x14ac:dyDescent="0.2">
      <c r="A130" s="38" t="s">
        <v>236</v>
      </c>
      <c r="B130" s="46" t="s">
        <v>235</v>
      </c>
      <c r="C130" s="46"/>
      <c r="D130" s="57" t="s">
        <v>234</v>
      </c>
      <c r="E130" s="50">
        <f t="shared" si="19"/>
        <v>0</v>
      </c>
      <c r="F130" s="51"/>
      <c r="G130" s="51"/>
      <c r="H130" s="51"/>
      <c r="I130" s="51">
        <f>I131+I132</f>
        <v>0</v>
      </c>
      <c r="J130" s="50">
        <f t="shared" si="20"/>
        <v>0</v>
      </c>
      <c r="K130" s="51"/>
      <c r="L130" s="51"/>
      <c r="M130" s="51"/>
      <c r="N130" s="51"/>
      <c r="O130" s="51">
        <f>K130</f>
        <v>0</v>
      </c>
      <c r="P130" s="66">
        <f t="shared" si="23"/>
        <v>0</v>
      </c>
      <c r="Q130" s="19"/>
      <c r="R130" s="19"/>
      <c r="S130" s="19"/>
      <c r="T130" s="19"/>
      <c r="U130" s="19"/>
    </row>
    <row r="131" spans="1:21" s="10" customFormat="1" x14ac:dyDescent="0.2">
      <c r="A131" s="37" t="s">
        <v>421</v>
      </c>
      <c r="B131" s="21" t="s">
        <v>419</v>
      </c>
      <c r="C131" s="21" t="s">
        <v>8</v>
      </c>
      <c r="D131" s="22" t="s">
        <v>423</v>
      </c>
      <c r="E131" s="47">
        <f t="shared" si="19"/>
        <v>5439800</v>
      </c>
      <c r="F131" s="83">
        <f>5153800+286000</f>
        <v>5439800</v>
      </c>
      <c r="G131" s="83"/>
      <c r="H131" s="83"/>
      <c r="I131" s="83"/>
      <c r="J131" s="47">
        <f t="shared" si="20"/>
        <v>0</v>
      </c>
      <c r="K131" s="83"/>
      <c r="L131" s="83"/>
      <c r="M131" s="83"/>
      <c r="N131" s="83"/>
      <c r="O131" s="83">
        <f>K131</f>
        <v>0</v>
      </c>
      <c r="P131" s="80">
        <f t="shared" si="23"/>
        <v>5439800</v>
      </c>
      <c r="Q131" s="8"/>
      <c r="R131" s="8"/>
      <c r="S131" s="8"/>
      <c r="T131" s="8"/>
      <c r="U131" s="8"/>
    </row>
    <row r="132" spans="1:21" s="10" customFormat="1" x14ac:dyDescent="0.2">
      <c r="A132" s="37" t="s">
        <v>422</v>
      </c>
      <c r="B132" s="21" t="s">
        <v>420</v>
      </c>
      <c r="C132" s="21" t="s">
        <v>8</v>
      </c>
      <c r="D132" s="22" t="s">
        <v>424</v>
      </c>
      <c r="E132" s="47">
        <f t="shared" si="19"/>
        <v>8509869</v>
      </c>
      <c r="F132" s="83">
        <f>7595030+14500+10000+700000+200000-9661</f>
        <v>8509869</v>
      </c>
      <c r="G132" s="83"/>
      <c r="H132" s="83"/>
      <c r="I132" s="83"/>
      <c r="J132" s="47">
        <f t="shared" si="20"/>
        <v>0</v>
      </c>
      <c r="K132" s="83"/>
      <c r="L132" s="83"/>
      <c r="M132" s="83"/>
      <c r="N132" s="83"/>
      <c r="O132" s="83">
        <f>K132</f>
        <v>0</v>
      </c>
      <c r="P132" s="80">
        <f t="shared" si="23"/>
        <v>8509869</v>
      </c>
      <c r="Q132" s="8"/>
      <c r="R132" s="8"/>
      <c r="S132" s="8"/>
      <c r="T132" s="8"/>
      <c r="U132" s="8"/>
    </row>
    <row r="133" spans="1:21" ht="26.25" hidden="1" customHeight="1" x14ac:dyDescent="0.2">
      <c r="A133" s="38"/>
      <c r="B133" s="46"/>
      <c r="C133" s="46"/>
      <c r="D133" s="40" t="s">
        <v>95</v>
      </c>
      <c r="E133" s="50">
        <f t="shared" si="19"/>
        <v>0</v>
      </c>
      <c r="F133" s="51"/>
      <c r="G133" s="51"/>
      <c r="H133" s="51"/>
      <c r="I133" s="51"/>
      <c r="J133" s="47">
        <f t="shared" si="20"/>
        <v>0</v>
      </c>
      <c r="K133" s="51"/>
      <c r="L133" s="51"/>
      <c r="M133" s="51"/>
      <c r="N133" s="51"/>
      <c r="O133" s="83">
        <f>K133</f>
        <v>0</v>
      </c>
      <c r="P133" s="80">
        <f t="shared" si="23"/>
        <v>0</v>
      </c>
      <c r="Q133" s="19"/>
      <c r="R133" s="19"/>
      <c r="S133" s="19"/>
      <c r="T133" s="19"/>
      <c r="U133" s="19"/>
    </row>
    <row r="134" spans="1:21" s="10" customFormat="1" x14ac:dyDescent="0.2">
      <c r="A134" s="37"/>
      <c r="B134" s="21"/>
      <c r="C134" s="21"/>
      <c r="D134" s="40" t="s">
        <v>510</v>
      </c>
      <c r="E134" s="47">
        <f>F134</f>
        <v>504769</v>
      </c>
      <c r="F134" s="83">
        <f>499930+14500-9661</f>
        <v>504769</v>
      </c>
      <c r="G134" s="83"/>
      <c r="H134" s="83"/>
      <c r="I134" s="83"/>
      <c r="J134" s="47">
        <f t="shared" si="20"/>
        <v>0</v>
      </c>
      <c r="K134" s="83"/>
      <c r="L134" s="83"/>
      <c r="M134" s="83"/>
      <c r="N134" s="83"/>
      <c r="O134" s="83">
        <f>K134</f>
        <v>0</v>
      </c>
      <c r="P134" s="80">
        <f t="shared" si="23"/>
        <v>504769</v>
      </c>
      <c r="Q134" s="8"/>
      <c r="R134" s="8"/>
      <c r="S134" s="8"/>
      <c r="T134" s="8"/>
      <c r="U134" s="8"/>
    </row>
    <row r="135" spans="1:21" s="10" customFormat="1" ht="25.5" hidden="1" x14ac:dyDescent="0.2">
      <c r="A135" s="37"/>
      <c r="B135" s="21"/>
      <c r="C135" s="21"/>
      <c r="D135" s="40" t="s">
        <v>495</v>
      </c>
      <c r="E135" s="47">
        <f t="shared" ref="E135:E140" si="24">F135</f>
        <v>0</v>
      </c>
      <c r="F135" s="83"/>
      <c r="G135" s="83"/>
      <c r="H135" s="83"/>
      <c r="I135" s="83"/>
      <c r="J135" s="47"/>
      <c r="K135" s="83"/>
      <c r="L135" s="83"/>
      <c r="M135" s="83"/>
      <c r="N135" s="83"/>
      <c r="O135" s="83"/>
      <c r="P135" s="80">
        <f t="shared" si="23"/>
        <v>0</v>
      </c>
      <c r="Q135" s="8"/>
      <c r="R135" s="8"/>
      <c r="S135" s="8"/>
      <c r="T135" s="8"/>
      <c r="U135" s="8"/>
    </row>
    <row r="136" spans="1:21" ht="25.5" hidden="1" x14ac:dyDescent="0.2">
      <c r="A136" s="38" t="s">
        <v>531</v>
      </c>
      <c r="B136" s="46" t="s">
        <v>519</v>
      </c>
      <c r="C136" s="46"/>
      <c r="D136" s="16" t="s">
        <v>534</v>
      </c>
      <c r="E136" s="47">
        <f t="shared" si="24"/>
        <v>0</v>
      </c>
      <c r="F136" s="50"/>
      <c r="G136" s="50"/>
      <c r="H136" s="50"/>
      <c r="I136" s="50">
        <f t="shared" ref="I136:O136" si="25">I137+I141</f>
        <v>0</v>
      </c>
      <c r="J136" s="50">
        <f t="shared" si="25"/>
        <v>3391997</v>
      </c>
      <c r="K136" s="50"/>
      <c r="L136" s="50"/>
      <c r="M136" s="50">
        <f t="shared" si="25"/>
        <v>0</v>
      </c>
      <c r="N136" s="50">
        <f t="shared" si="25"/>
        <v>0</v>
      </c>
      <c r="O136" s="50">
        <f t="shared" si="25"/>
        <v>3391997</v>
      </c>
      <c r="P136" s="80">
        <f t="shared" si="23"/>
        <v>3391997</v>
      </c>
      <c r="Q136" s="19"/>
      <c r="R136" s="19"/>
      <c r="S136" s="19"/>
      <c r="T136" s="19"/>
      <c r="U136" s="19"/>
    </row>
    <row r="137" spans="1:21" s="10" customFormat="1" ht="25.5" hidden="1" x14ac:dyDescent="0.2">
      <c r="A137" s="37" t="s">
        <v>543</v>
      </c>
      <c r="B137" s="21" t="s">
        <v>544</v>
      </c>
      <c r="C137" s="21" t="s">
        <v>127</v>
      </c>
      <c r="D137" s="52" t="s">
        <v>545</v>
      </c>
      <c r="E137" s="47">
        <f t="shared" si="24"/>
        <v>0</v>
      </c>
      <c r="F137" s="47"/>
      <c r="G137" s="47"/>
      <c r="H137" s="47"/>
      <c r="I137" s="47"/>
      <c r="J137" s="50">
        <f t="shared" si="20"/>
        <v>0</v>
      </c>
      <c r="K137" s="50"/>
      <c r="L137" s="50"/>
      <c r="M137" s="50"/>
      <c r="N137" s="50"/>
      <c r="O137" s="51">
        <f>K137</f>
        <v>0</v>
      </c>
      <c r="P137" s="80">
        <f t="shared" si="23"/>
        <v>0</v>
      </c>
      <c r="Q137" s="8"/>
      <c r="R137" s="8"/>
      <c r="S137" s="8"/>
      <c r="T137" s="8"/>
      <c r="U137" s="8"/>
    </row>
    <row r="138" spans="1:21" s="10" customFormat="1" ht="25.5" hidden="1" x14ac:dyDescent="0.2">
      <c r="A138" s="37"/>
      <c r="B138" s="21"/>
      <c r="C138" s="21"/>
      <c r="D138" s="53" t="s">
        <v>546</v>
      </c>
      <c r="E138" s="47">
        <f t="shared" si="24"/>
        <v>0</v>
      </c>
      <c r="F138" s="47"/>
      <c r="G138" s="47"/>
      <c r="H138" s="47"/>
      <c r="I138" s="47"/>
      <c r="J138" s="47">
        <f t="shared" si="20"/>
        <v>0</v>
      </c>
      <c r="K138" s="47"/>
      <c r="L138" s="47"/>
      <c r="M138" s="47"/>
      <c r="N138" s="47"/>
      <c r="O138" s="83">
        <f>K138</f>
        <v>0</v>
      </c>
      <c r="P138" s="80">
        <f t="shared" si="23"/>
        <v>0</v>
      </c>
      <c r="Q138" s="8"/>
      <c r="R138" s="8"/>
      <c r="S138" s="8"/>
      <c r="T138" s="8"/>
      <c r="U138" s="8"/>
    </row>
    <row r="139" spans="1:21" hidden="1" x14ac:dyDescent="0.2">
      <c r="A139" s="38" t="s">
        <v>634</v>
      </c>
      <c r="B139" s="46" t="s">
        <v>436</v>
      </c>
      <c r="C139" s="46" t="s">
        <v>122</v>
      </c>
      <c r="D139" s="27" t="s">
        <v>435</v>
      </c>
      <c r="E139" s="50">
        <f t="shared" si="24"/>
        <v>0</v>
      </c>
      <c r="F139" s="50"/>
      <c r="G139" s="50"/>
      <c r="H139" s="50"/>
      <c r="I139" s="50"/>
      <c r="J139" s="50"/>
      <c r="K139" s="50"/>
      <c r="L139" s="50"/>
      <c r="M139" s="50"/>
      <c r="N139" s="50"/>
      <c r="O139" s="51"/>
      <c r="P139" s="66">
        <f t="shared" si="23"/>
        <v>0</v>
      </c>
      <c r="Q139" s="19"/>
      <c r="R139" s="19"/>
      <c r="S139" s="19"/>
      <c r="T139" s="19"/>
      <c r="U139" s="19"/>
    </row>
    <row r="140" spans="1:21" s="10" customFormat="1" hidden="1" x14ac:dyDescent="0.2">
      <c r="A140" s="37"/>
      <c r="B140" s="21"/>
      <c r="C140" s="21"/>
      <c r="D140" s="68" t="s">
        <v>510</v>
      </c>
      <c r="E140" s="47">
        <f t="shared" si="24"/>
        <v>0</v>
      </c>
      <c r="F140" s="47"/>
      <c r="G140" s="47"/>
      <c r="H140" s="47"/>
      <c r="I140" s="47"/>
      <c r="J140" s="47"/>
      <c r="K140" s="47"/>
      <c r="L140" s="47"/>
      <c r="M140" s="47"/>
      <c r="N140" s="47"/>
      <c r="O140" s="83"/>
      <c r="P140" s="80">
        <f t="shared" si="23"/>
        <v>0</v>
      </c>
      <c r="Q140" s="8"/>
      <c r="R140" s="8"/>
      <c r="S140" s="8"/>
      <c r="T140" s="8"/>
      <c r="U140" s="8"/>
    </row>
    <row r="141" spans="1:21" s="10" customFormat="1" ht="25.5" x14ac:dyDescent="0.2">
      <c r="A141" s="37" t="s">
        <v>532</v>
      </c>
      <c r="B141" s="21" t="s">
        <v>533</v>
      </c>
      <c r="C141" s="21" t="s">
        <v>127</v>
      </c>
      <c r="D141" s="58" t="s">
        <v>536</v>
      </c>
      <c r="E141" s="47">
        <f>F141</f>
        <v>0</v>
      </c>
      <c r="F141" s="83"/>
      <c r="G141" s="83"/>
      <c r="H141" s="83"/>
      <c r="I141" s="83"/>
      <c r="J141" s="50">
        <f t="shared" si="20"/>
        <v>3391997</v>
      </c>
      <c r="K141" s="51">
        <f>519497+2800000+72500</f>
        <v>3391997</v>
      </c>
      <c r="L141" s="51"/>
      <c r="M141" s="51"/>
      <c r="N141" s="51"/>
      <c r="O141" s="51">
        <f>K141</f>
        <v>3391997</v>
      </c>
      <c r="P141" s="80">
        <f t="shared" si="23"/>
        <v>3391997</v>
      </c>
      <c r="Q141" s="8"/>
      <c r="R141" s="8"/>
      <c r="S141" s="8"/>
      <c r="T141" s="8"/>
      <c r="U141" s="8"/>
    </row>
    <row r="142" spans="1:21" s="10" customFormat="1" ht="25.5" x14ac:dyDescent="0.2">
      <c r="A142" s="37"/>
      <c r="B142" s="21"/>
      <c r="C142" s="21"/>
      <c r="D142" s="40" t="s">
        <v>537</v>
      </c>
      <c r="E142" s="47">
        <f>F142</f>
        <v>0</v>
      </c>
      <c r="F142" s="83"/>
      <c r="G142" s="83"/>
      <c r="H142" s="83"/>
      <c r="I142" s="83"/>
      <c r="J142" s="47">
        <f t="shared" si="20"/>
        <v>347197</v>
      </c>
      <c r="K142" s="83">
        <v>347197</v>
      </c>
      <c r="L142" s="83"/>
      <c r="M142" s="83"/>
      <c r="N142" s="83"/>
      <c r="O142" s="83">
        <f>K142</f>
        <v>347197</v>
      </c>
      <c r="P142" s="80">
        <f t="shared" si="23"/>
        <v>347197</v>
      </c>
      <c r="Q142" s="8"/>
      <c r="R142" s="8"/>
      <c r="S142" s="8"/>
      <c r="T142" s="8"/>
      <c r="U142" s="8"/>
    </row>
    <row r="143" spans="1:21" s="10" customFormat="1" hidden="1" x14ac:dyDescent="0.2">
      <c r="A143" s="37" t="s">
        <v>632</v>
      </c>
      <c r="B143" s="21"/>
      <c r="C143" s="21"/>
      <c r="D143" s="27"/>
      <c r="E143" s="47">
        <f>F143</f>
        <v>0</v>
      </c>
      <c r="F143" s="83"/>
      <c r="G143" s="83"/>
      <c r="H143" s="83"/>
      <c r="I143" s="83"/>
      <c r="J143" s="47">
        <f>L143+O143</f>
        <v>0</v>
      </c>
      <c r="K143" s="83"/>
      <c r="L143" s="83"/>
      <c r="M143" s="83"/>
      <c r="N143" s="83"/>
      <c r="O143" s="83">
        <f>K143</f>
        <v>0</v>
      </c>
      <c r="P143" s="80">
        <f t="shared" si="23"/>
        <v>0</v>
      </c>
      <c r="Q143" s="8"/>
      <c r="R143" s="8"/>
      <c r="S143" s="8"/>
      <c r="T143" s="8"/>
      <c r="U143" s="8"/>
    </row>
    <row r="144" spans="1:21" ht="25.5" x14ac:dyDescent="0.2">
      <c r="A144" s="39" t="s">
        <v>175</v>
      </c>
      <c r="B144" s="60"/>
      <c r="C144" s="61"/>
      <c r="D144" s="148" t="s">
        <v>9</v>
      </c>
      <c r="E144" s="77">
        <f>E147</f>
        <v>46963370</v>
      </c>
      <c r="F144" s="77">
        <f t="shared" ref="F144:P144" si="26">F147</f>
        <v>46963370</v>
      </c>
      <c r="G144" s="77">
        <f t="shared" si="26"/>
        <v>25569565</v>
      </c>
      <c r="H144" s="77">
        <f t="shared" si="26"/>
        <v>877698</v>
      </c>
      <c r="I144" s="77">
        <f t="shared" si="26"/>
        <v>0</v>
      </c>
      <c r="J144" s="77">
        <f t="shared" si="26"/>
        <v>2783296</v>
      </c>
      <c r="K144" s="77">
        <f>K147</f>
        <v>2156504</v>
      </c>
      <c r="L144" s="77">
        <f t="shared" si="26"/>
        <v>626792</v>
      </c>
      <c r="M144" s="77">
        <f t="shared" si="26"/>
        <v>37780</v>
      </c>
      <c r="N144" s="77">
        <f t="shared" si="26"/>
        <v>382800</v>
      </c>
      <c r="O144" s="77">
        <f t="shared" si="26"/>
        <v>2156504</v>
      </c>
      <c r="P144" s="77">
        <f t="shared" si="26"/>
        <v>49746666</v>
      </c>
      <c r="Q144" s="19"/>
      <c r="R144" s="129"/>
      <c r="S144" s="19"/>
      <c r="T144" s="19"/>
      <c r="U144" s="19"/>
    </row>
    <row r="145" spans="1:21" ht="63.75" x14ac:dyDescent="0.2">
      <c r="A145" s="39"/>
      <c r="B145" s="60"/>
      <c r="C145" s="61"/>
      <c r="D145" s="28" t="s">
        <v>652</v>
      </c>
      <c r="E145" s="77"/>
      <c r="F145" s="77"/>
      <c r="G145" s="77"/>
      <c r="H145" s="77"/>
      <c r="I145" s="77"/>
      <c r="J145" s="49">
        <f>K145</f>
        <v>486351</v>
      </c>
      <c r="K145" s="49">
        <f>K232</f>
        <v>486351</v>
      </c>
      <c r="L145" s="77"/>
      <c r="M145" s="77"/>
      <c r="N145" s="77"/>
      <c r="O145" s="77">
        <f>K145</f>
        <v>486351</v>
      </c>
      <c r="P145" s="77">
        <f>J145</f>
        <v>486351</v>
      </c>
      <c r="Q145" s="19"/>
      <c r="R145" s="129"/>
      <c r="S145" s="19"/>
      <c r="T145" s="19"/>
      <c r="U145" s="19"/>
    </row>
    <row r="146" spans="1:21" x14ac:dyDescent="0.2">
      <c r="A146" s="39"/>
      <c r="B146" s="60"/>
      <c r="C146" s="61"/>
      <c r="D146" s="22" t="s">
        <v>510</v>
      </c>
      <c r="E146" s="49">
        <f>E215+E229</f>
        <v>43070</v>
      </c>
      <c r="F146" s="49">
        <f>F215+F229</f>
        <v>43070</v>
      </c>
      <c r="G146" s="77"/>
      <c r="H146" s="77"/>
      <c r="I146" s="77"/>
      <c r="J146" s="77"/>
      <c r="K146" s="77"/>
      <c r="L146" s="77"/>
      <c r="M146" s="77"/>
      <c r="N146" s="77"/>
      <c r="O146" s="77"/>
      <c r="P146" s="77">
        <f t="shared" ref="P146:P164" si="27">E146+J146</f>
        <v>43070</v>
      </c>
      <c r="Q146" s="19"/>
      <c r="R146" s="19"/>
      <c r="S146" s="19"/>
      <c r="T146" s="19"/>
      <c r="U146" s="19"/>
    </row>
    <row r="147" spans="1:21" ht="25.5" x14ac:dyDescent="0.2">
      <c r="A147" s="38" t="s">
        <v>237</v>
      </c>
      <c r="B147" s="74"/>
      <c r="C147" s="61"/>
      <c r="D147" s="22" t="s">
        <v>9</v>
      </c>
      <c r="E147" s="66">
        <f t="shared" ref="E147:E190" si="28">F147+I147</f>
        <v>46963370</v>
      </c>
      <c r="F147" s="77">
        <f>F148+F150+F152+F157+F159+F166+F167+F168+F169+F171+F173+F175+F177+F179+F181+F183+F187+F191+F193+F195+F197+F199+F201+F204+F206+F207+F209+F210+F212+F214+F216+F219+F220+F225+F228+F233</f>
        <v>46963370</v>
      </c>
      <c r="G147" s="77">
        <f>G148+G150+G152+G157+G159+G166+G167+G168+G169+G171+G173+G175+G177+G179+G181+G183+G187+G191+G193+G195+G197+G199+G201+G204+G206+G207+G209+G210+G212+G214+G216+G219+G220+G225+G228+G233</f>
        <v>25569565</v>
      </c>
      <c r="H147" s="77">
        <f>H148+H150+H152+H157+H159+H166+H167+H168+H169+H171+H173+H175+H177+H179+H181+H183+H187+H191+H193+H195+H197+H199+H201+H204+H206+H207+H209+H210+H212+H214+H216+H219+H220+H225+H228+H233</f>
        <v>877698</v>
      </c>
      <c r="I147" s="77">
        <f>I148+I150+I152+I157+I159+I166+I167+I168+I169+I171+I173+I175+I177+I179+I181+I183+I187+I191+I193+I195+I197+I199+I201+I204+I206+I207+I209+I210+I212+I214+I216+I219+I220+I225+I228+I233</f>
        <v>0</v>
      </c>
      <c r="J147" s="77">
        <f>J148+J149+J156+J165+J170+J189+J203+J208+J211+J214+J216+J218+J220+J225+J227+J230+J222+J231</f>
        <v>2783296</v>
      </c>
      <c r="K147" s="77">
        <f>K148+K149+K156+K165+K170+K189+K203+K208+K211+K214+K216+K218+K220+K225+K227+K230+K222+K231</f>
        <v>2156504</v>
      </c>
      <c r="L147" s="77">
        <f>L148+L149+L156+L165+L170+L189+L203+L208+L211+L214+L216+L218+L220+L225+L227+L230+L222</f>
        <v>626792</v>
      </c>
      <c r="M147" s="77">
        <f>M148+M149+M156+M165+M170+M189+M203+M208+M211+M214+M216+M218+M220+M225+M227+M230+M222</f>
        <v>37780</v>
      </c>
      <c r="N147" s="77">
        <f>N148+N149+N156+N165+N170+N189+N203+N208+N211+N214+N216+N218+N220+N225+N227+N230+N222</f>
        <v>382800</v>
      </c>
      <c r="O147" s="77">
        <f>O148+O149+O156+O165+O170+O189+O203+O208+O211+O214+O216+O218+O220+O225+O227+O230+O222+O231</f>
        <v>2156504</v>
      </c>
      <c r="P147" s="66">
        <f t="shared" si="27"/>
        <v>49746666</v>
      </c>
      <c r="Q147" s="19"/>
      <c r="R147" s="19"/>
      <c r="S147" s="19"/>
      <c r="T147" s="19"/>
      <c r="U147" s="19"/>
    </row>
    <row r="148" spans="1:21" s="19" customFormat="1" ht="25.5" x14ac:dyDescent="0.2">
      <c r="A148" s="38" t="s">
        <v>238</v>
      </c>
      <c r="B148" s="25" t="s">
        <v>196</v>
      </c>
      <c r="C148" s="25" t="s">
        <v>121</v>
      </c>
      <c r="D148" s="76" t="s">
        <v>195</v>
      </c>
      <c r="E148" s="50">
        <f t="shared" si="28"/>
        <v>23947700</v>
      </c>
      <c r="F148" s="51">
        <f>26807700-2000000-700000-115000+10000-55000</f>
        <v>23947700</v>
      </c>
      <c r="G148" s="51">
        <f>20922600-2490000-600000-115000+10000-55000</f>
        <v>17672600</v>
      </c>
      <c r="H148" s="51">
        <v>476100</v>
      </c>
      <c r="I148" s="51"/>
      <c r="J148" s="50">
        <f t="shared" ref="J148:J190" si="29">L148+O148</f>
        <v>1180653</v>
      </c>
      <c r="K148" s="51">
        <f>773653+407000</f>
        <v>1180653</v>
      </c>
      <c r="L148" s="51"/>
      <c r="M148" s="51"/>
      <c r="N148" s="51"/>
      <c r="O148" s="51">
        <f>K148</f>
        <v>1180653</v>
      </c>
      <c r="P148" s="66">
        <f t="shared" si="27"/>
        <v>25128353</v>
      </c>
    </row>
    <row r="149" spans="1:21" s="19" customFormat="1" ht="38.25" hidden="1" x14ac:dyDescent="0.2">
      <c r="A149" s="38" t="s">
        <v>239</v>
      </c>
      <c r="B149" s="31" t="s">
        <v>151</v>
      </c>
      <c r="C149" s="72"/>
      <c r="D149" s="55" t="s">
        <v>97</v>
      </c>
      <c r="E149" s="50">
        <f t="shared" si="28"/>
        <v>0</v>
      </c>
      <c r="F149" s="51">
        <f t="shared" ref="F149:O149" si="30">F150+F152</f>
        <v>0</v>
      </c>
      <c r="G149" s="51">
        <f t="shared" si="30"/>
        <v>0</v>
      </c>
      <c r="H149" s="51">
        <f t="shared" si="30"/>
        <v>0</v>
      </c>
      <c r="I149" s="51">
        <f t="shared" si="30"/>
        <v>0</v>
      </c>
      <c r="J149" s="51">
        <f t="shared" si="30"/>
        <v>0</v>
      </c>
      <c r="K149" s="51"/>
      <c r="L149" s="51"/>
      <c r="M149" s="51"/>
      <c r="N149" s="51">
        <f t="shared" si="30"/>
        <v>0</v>
      </c>
      <c r="O149" s="51">
        <f t="shared" si="30"/>
        <v>0</v>
      </c>
      <c r="P149" s="66">
        <f t="shared" si="27"/>
        <v>0</v>
      </c>
    </row>
    <row r="150" spans="1:21" s="8" customFormat="1" ht="25.5" hidden="1" x14ac:dyDescent="0.2">
      <c r="A150" s="37" t="s">
        <v>241</v>
      </c>
      <c r="B150" s="87" t="s">
        <v>36</v>
      </c>
      <c r="C150" s="88" t="s">
        <v>123</v>
      </c>
      <c r="D150" s="154" t="s">
        <v>240</v>
      </c>
      <c r="E150" s="50">
        <f t="shared" si="28"/>
        <v>0</v>
      </c>
      <c r="F150" s="83"/>
      <c r="G150" s="83"/>
      <c r="H150" s="83"/>
      <c r="I150" s="83"/>
      <c r="J150" s="50">
        <f t="shared" si="29"/>
        <v>0</v>
      </c>
      <c r="K150" s="83"/>
      <c r="L150" s="83"/>
      <c r="M150" s="83"/>
      <c r="N150" s="83"/>
      <c r="O150" s="83"/>
      <c r="P150" s="66">
        <f t="shared" si="27"/>
        <v>0</v>
      </c>
    </row>
    <row r="151" spans="1:21" s="19" customFormat="1" ht="66.75" hidden="1" customHeight="1" x14ac:dyDescent="0.2">
      <c r="A151" s="38"/>
      <c r="B151" s="31"/>
      <c r="C151" s="89"/>
      <c r="D151" s="55" t="s">
        <v>446</v>
      </c>
      <c r="E151" s="50">
        <f t="shared" si="28"/>
        <v>0</v>
      </c>
      <c r="F151" s="51">
        <f>F150</f>
        <v>0</v>
      </c>
      <c r="G151" s="51"/>
      <c r="H151" s="51"/>
      <c r="I151" s="51"/>
      <c r="J151" s="50">
        <f t="shared" si="29"/>
        <v>0</v>
      </c>
      <c r="K151" s="51"/>
      <c r="L151" s="51"/>
      <c r="M151" s="51"/>
      <c r="N151" s="51"/>
      <c r="O151" s="51"/>
      <c r="P151" s="66">
        <f t="shared" si="27"/>
        <v>0</v>
      </c>
    </row>
    <row r="152" spans="1:21" s="8" customFormat="1" ht="25.5" hidden="1" x14ac:dyDescent="0.2">
      <c r="A152" s="37" t="s">
        <v>242</v>
      </c>
      <c r="B152" s="87" t="s">
        <v>37</v>
      </c>
      <c r="C152" s="88" t="s">
        <v>57</v>
      </c>
      <c r="D152" s="90" t="s">
        <v>99</v>
      </c>
      <c r="E152" s="50">
        <f t="shared" si="28"/>
        <v>0</v>
      </c>
      <c r="F152" s="83"/>
      <c r="G152" s="83"/>
      <c r="H152" s="83"/>
      <c r="I152" s="83"/>
      <c r="J152" s="50">
        <f t="shared" si="29"/>
        <v>0</v>
      </c>
      <c r="K152" s="83"/>
      <c r="L152" s="83"/>
      <c r="M152" s="83"/>
      <c r="N152" s="83"/>
      <c r="O152" s="83"/>
      <c r="P152" s="66">
        <f t="shared" si="27"/>
        <v>0</v>
      </c>
    </row>
    <row r="153" spans="1:21" s="19" customFormat="1" ht="67.5" hidden="1" customHeight="1" x14ac:dyDescent="0.2">
      <c r="A153" s="38"/>
      <c r="B153" s="31"/>
      <c r="C153" s="89"/>
      <c r="D153" s="55" t="s">
        <v>446</v>
      </c>
      <c r="E153" s="50">
        <f t="shared" si="28"/>
        <v>0</v>
      </c>
      <c r="F153" s="51">
        <f>F152</f>
        <v>0</v>
      </c>
      <c r="G153" s="51"/>
      <c r="H153" s="51"/>
      <c r="I153" s="51"/>
      <c r="J153" s="50">
        <f t="shared" si="29"/>
        <v>0</v>
      </c>
      <c r="K153" s="51"/>
      <c r="L153" s="51"/>
      <c r="M153" s="51"/>
      <c r="N153" s="51"/>
      <c r="O153" s="51"/>
      <c r="P153" s="66">
        <f t="shared" si="27"/>
        <v>0</v>
      </c>
    </row>
    <row r="154" spans="1:21" s="19" customFormat="1" ht="25.5" hidden="1" x14ac:dyDescent="0.2">
      <c r="A154" s="38">
        <v>1513017</v>
      </c>
      <c r="B154" s="31" t="s">
        <v>58</v>
      </c>
      <c r="C154" s="72" t="s">
        <v>57</v>
      </c>
      <c r="D154" s="26" t="s">
        <v>59</v>
      </c>
      <c r="E154" s="50">
        <f t="shared" si="28"/>
        <v>0</v>
      </c>
      <c r="F154" s="51"/>
      <c r="G154" s="51"/>
      <c r="H154" s="51"/>
      <c r="I154" s="51"/>
      <c r="J154" s="50">
        <f t="shared" si="29"/>
        <v>0</v>
      </c>
      <c r="K154" s="51"/>
      <c r="L154" s="51"/>
      <c r="M154" s="51"/>
      <c r="N154" s="51"/>
      <c r="O154" s="51"/>
      <c r="P154" s="66">
        <f t="shared" si="27"/>
        <v>0</v>
      </c>
    </row>
    <row r="155" spans="1:21" s="19" customFormat="1" ht="51" hidden="1" x14ac:dyDescent="0.2">
      <c r="A155" s="38"/>
      <c r="B155" s="31"/>
      <c r="C155" s="72"/>
      <c r="D155" s="55" t="s">
        <v>10</v>
      </c>
      <c r="E155" s="50">
        <f t="shared" si="28"/>
        <v>0</v>
      </c>
      <c r="F155" s="51"/>
      <c r="G155" s="51"/>
      <c r="H155" s="51"/>
      <c r="I155" s="51"/>
      <c r="J155" s="50">
        <f t="shared" si="29"/>
        <v>0</v>
      </c>
      <c r="K155" s="51"/>
      <c r="L155" s="51"/>
      <c r="M155" s="51"/>
      <c r="N155" s="51"/>
      <c r="O155" s="51"/>
      <c r="P155" s="66">
        <f t="shared" si="27"/>
        <v>0</v>
      </c>
    </row>
    <row r="156" spans="1:21" s="19" customFormat="1" ht="25.5" hidden="1" x14ac:dyDescent="0.2">
      <c r="A156" s="38" t="s">
        <v>243</v>
      </c>
      <c r="B156" s="31" t="s">
        <v>152</v>
      </c>
      <c r="C156" s="72"/>
      <c r="D156" s="55" t="s">
        <v>100</v>
      </c>
      <c r="E156" s="50">
        <f t="shared" si="28"/>
        <v>0</v>
      </c>
      <c r="F156" s="51">
        <f>F157+F159+F161</f>
        <v>0</v>
      </c>
      <c r="G156" s="51">
        <f>G157+G159+G161</f>
        <v>0</v>
      </c>
      <c r="H156" s="51">
        <f>H157+H159+H161</f>
        <v>0</v>
      </c>
      <c r="I156" s="51">
        <f>I157+I159+I161</f>
        <v>0</v>
      </c>
      <c r="J156" s="50">
        <f t="shared" si="29"/>
        <v>0</v>
      </c>
      <c r="K156" s="51">
        <f>K157+K159+K161</f>
        <v>0</v>
      </c>
      <c r="L156" s="51">
        <f>L157+L159+L161</f>
        <v>0</v>
      </c>
      <c r="M156" s="51">
        <f>M157+M159+M161</f>
        <v>0</v>
      </c>
      <c r="N156" s="51">
        <f>N157+N159+N161</f>
        <v>0</v>
      </c>
      <c r="O156" s="51">
        <f>O157+O159+O161</f>
        <v>0</v>
      </c>
      <c r="P156" s="66">
        <f t="shared" si="27"/>
        <v>0</v>
      </c>
    </row>
    <row r="157" spans="1:21" s="8" customFormat="1" ht="25.5" hidden="1" x14ac:dyDescent="0.2">
      <c r="A157" s="37" t="s">
        <v>245</v>
      </c>
      <c r="B157" s="87" t="s">
        <v>38</v>
      </c>
      <c r="C157" s="88" t="s">
        <v>123</v>
      </c>
      <c r="D157" s="22" t="s">
        <v>244</v>
      </c>
      <c r="E157" s="50">
        <f t="shared" si="28"/>
        <v>0</v>
      </c>
      <c r="F157" s="83"/>
      <c r="G157" s="83"/>
      <c r="H157" s="83"/>
      <c r="I157" s="83"/>
      <c r="J157" s="50">
        <f t="shared" si="29"/>
        <v>0</v>
      </c>
      <c r="K157" s="83"/>
      <c r="L157" s="83"/>
      <c r="M157" s="83"/>
      <c r="N157" s="83"/>
      <c r="O157" s="83"/>
      <c r="P157" s="66">
        <f t="shared" si="27"/>
        <v>0</v>
      </c>
    </row>
    <row r="158" spans="1:21" s="19" customFormat="1" ht="42.75" hidden="1" customHeight="1" x14ac:dyDescent="0.2">
      <c r="A158" s="38"/>
      <c r="B158" s="31"/>
      <c r="C158" s="89"/>
      <c r="D158" s="26" t="s">
        <v>447</v>
      </c>
      <c r="E158" s="50">
        <f t="shared" si="28"/>
        <v>0</v>
      </c>
      <c r="F158" s="51">
        <f>F157</f>
        <v>0</v>
      </c>
      <c r="G158" s="51"/>
      <c r="H158" s="51"/>
      <c r="I158" s="51"/>
      <c r="J158" s="50">
        <f t="shared" si="29"/>
        <v>0</v>
      </c>
      <c r="K158" s="51"/>
      <c r="L158" s="51"/>
      <c r="M158" s="51"/>
      <c r="N158" s="51"/>
      <c r="O158" s="51"/>
      <c r="P158" s="66">
        <f t="shared" si="27"/>
        <v>0</v>
      </c>
    </row>
    <row r="159" spans="1:21" s="8" customFormat="1" ht="25.5" hidden="1" x14ac:dyDescent="0.2">
      <c r="A159" s="37" t="s">
        <v>246</v>
      </c>
      <c r="B159" s="87" t="s">
        <v>39</v>
      </c>
      <c r="C159" s="88" t="s">
        <v>57</v>
      </c>
      <c r="D159" s="90" t="s">
        <v>101</v>
      </c>
      <c r="E159" s="50">
        <f t="shared" si="28"/>
        <v>0</v>
      </c>
      <c r="F159" s="83"/>
      <c r="G159" s="83"/>
      <c r="H159" s="83"/>
      <c r="I159" s="83"/>
      <c r="J159" s="50">
        <f t="shared" si="29"/>
        <v>0</v>
      </c>
      <c r="K159" s="83"/>
      <c r="L159" s="83"/>
      <c r="M159" s="83"/>
      <c r="N159" s="83"/>
      <c r="O159" s="83"/>
      <c r="P159" s="66">
        <f t="shared" si="27"/>
        <v>0</v>
      </c>
    </row>
    <row r="160" spans="1:21" s="19" customFormat="1" ht="42" hidden="1" customHeight="1" x14ac:dyDescent="0.2">
      <c r="A160" s="38"/>
      <c r="B160" s="31"/>
      <c r="C160" s="89"/>
      <c r="D160" s="55" t="s">
        <v>447</v>
      </c>
      <c r="E160" s="50">
        <f t="shared" si="28"/>
        <v>0</v>
      </c>
      <c r="F160" s="51">
        <f>F159</f>
        <v>0</v>
      </c>
      <c r="G160" s="51"/>
      <c r="H160" s="51"/>
      <c r="I160" s="51"/>
      <c r="J160" s="50">
        <f t="shared" si="29"/>
        <v>0</v>
      </c>
      <c r="K160" s="51"/>
      <c r="L160" s="51"/>
      <c r="M160" s="51"/>
      <c r="N160" s="51"/>
      <c r="O160" s="51"/>
      <c r="P160" s="66">
        <f t="shared" si="27"/>
        <v>0</v>
      </c>
    </row>
    <row r="161" spans="1:21" s="8" customFormat="1" hidden="1" x14ac:dyDescent="0.2">
      <c r="A161" s="37" t="s">
        <v>248</v>
      </c>
      <c r="B161" s="87" t="s">
        <v>40</v>
      </c>
      <c r="C161" s="88" t="s">
        <v>57</v>
      </c>
      <c r="D161" s="23" t="s">
        <v>247</v>
      </c>
      <c r="E161" s="50">
        <f t="shared" si="28"/>
        <v>0</v>
      </c>
      <c r="F161" s="83"/>
      <c r="G161" s="83"/>
      <c r="H161" s="83"/>
      <c r="I161" s="83"/>
      <c r="J161" s="50">
        <f t="shared" si="29"/>
        <v>0</v>
      </c>
      <c r="K161" s="83"/>
      <c r="L161" s="83"/>
      <c r="M161" s="83"/>
      <c r="N161" s="83"/>
      <c r="O161" s="83"/>
      <c r="P161" s="66">
        <f t="shared" si="27"/>
        <v>0</v>
      </c>
    </row>
    <row r="162" spans="1:21" s="19" customFormat="1" ht="38.25" hidden="1" x14ac:dyDescent="0.2">
      <c r="A162" s="38"/>
      <c r="B162" s="31"/>
      <c r="C162" s="89"/>
      <c r="D162" s="55" t="s">
        <v>26</v>
      </c>
      <c r="E162" s="50">
        <f t="shared" si="28"/>
        <v>0</v>
      </c>
      <c r="F162" s="51">
        <f>F161</f>
        <v>0</v>
      </c>
      <c r="G162" s="51"/>
      <c r="H162" s="51"/>
      <c r="I162" s="51"/>
      <c r="J162" s="50">
        <f t="shared" si="29"/>
        <v>0</v>
      </c>
      <c r="K162" s="51"/>
      <c r="L162" s="51"/>
      <c r="M162" s="51"/>
      <c r="N162" s="51"/>
      <c r="O162" s="51"/>
      <c r="P162" s="66">
        <f t="shared" si="27"/>
        <v>0</v>
      </c>
    </row>
    <row r="163" spans="1:21" s="19" customFormat="1" ht="38.25" hidden="1" x14ac:dyDescent="0.2">
      <c r="A163" s="38">
        <v>1513028</v>
      </c>
      <c r="B163" s="31" t="s">
        <v>61</v>
      </c>
      <c r="C163" s="46" t="s">
        <v>57</v>
      </c>
      <c r="D163" s="16" t="s">
        <v>102</v>
      </c>
      <c r="E163" s="50">
        <f t="shared" si="28"/>
        <v>0</v>
      </c>
      <c r="F163" s="51">
        <v>0</v>
      </c>
      <c r="G163" s="51">
        <v>0</v>
      </c>
      <c r="H163" s="51"/>
      <c r="I163" s="51"/>
      <c r="J163" s="50">
        <f t="shared" si="29"/>
        <v>0</v>
      </c>
      <c r="K163" s="51"/>
      <c r="L163" s="51"/>
      <c r="M163" s="51"/>
      <c r="N163" s="51"/>
      <c r="O163" s="51"/>
      <c r="P163" s="66">
        <f t="shared" si="27"/>
        <v>0</v>
      </c>
    </row>
    <row r="164" spans="1:21" ht="38.25" hidden="1" x14ac:dyDescent="0.2">
      <c r="A164" s="38"/>
      <c r="B164" s="74"/>
      <c r="C164" s="46"/>
      <c r="D164" s="55" t="s">
        <v>26</v>
      </c>
      <c r="E164" s="50">
        <f t="shared" si="28"/>
        <v>0</v>
      </c>
      <c r="F164" s="51">
        <f t="shared" ref="F164:O164" si="31">F163</f>
        <v>0</v>
      </c>
      <c r="G164" s="51">
        <f t="shared" si="31"/>
        <v>0</v>
      </c>
      <c r="H164" s="51">
        <f t="shared" si="31"/>
        <v>0</v>
      </c>
      <c r="I164" s="51">
        <f t="shared" si="31"/>
        <v>0</v>
      </c>
      <c r="J164" s="50">
        <f t="shared" si="29"/>
        <v>0</v>
      </c>
      <c r="K164" s="51">
        <f>K163</f>
        <v>0</v>
      </c>
      <c r="L164" s="51">
        <f t="shared" si="31"/>
        <v>0</v>
      </c>
      <c r="M164" s="51">
        <f t="shared" si="31"/>
        <v>0</v>
      </c>
      <c r="N164" s="51">
        <f t="shared" si="31"/>
        <v>0</v>
      </c>
      <c r="O164" s="51">
        <f t="shared" si="31"/>
        <v>0</v>
      </c>
      <c r="P164" s="66">
        <f t="shared" si="27"/>
        <v>0</v>
      </c>
      <c r="Q164" s="19"/>
      <c r="R164" s="19"/>
      <c r="S164" s="19"/>
      <c r="T164" s="19"/>
      <c r="U164" s="19"/>
    </row>
    <row r="165" spans="1:21" ht="38.25" hidden="1" x14ac:dyDescent="0.2">
      <c r="A165" s="38" t="s">
        <v>250</v>
      </c>
      <c r="B165" s="74" t="s">
        <v>157</v>
      </c>
      <c r="C165" s="46"/>
      <c r="D165" s="55" t="s">
        <v>249</v>
      </c>
      <c r="E165" s="50">
        <f t="shared" ref="E165:P165" si="32">SUM(E166:E169)</f>
        <v>796200</v>
      </c>
      <c r="F165" s="50">
        <f t="shared" si="32"/>
        <v>796200</v>
      </c>
      <c r="G165" s="50">
        <f t="shared" si="32"/>
        <v>0</v>
      </c>
      <c r="H165" s="50">
        <f t="shared" si="32"/>
        <v>0</v>
      </c>
      <c r="I165" s="50">
        <f t="shared" si="32"/>
        <v>0</v>
      </c>
      <c r="J165" s="50">
        <f t="shared" si="32"/>
        <v>0</v>
      </c>
      <c r="K165" s="50">
        <f>SUM(K166:K169)</f>
        <v>0</v>
      </c>
      <c r="L165" s="50">
        <f t="shared" si="32"/>
        <v>0</v>
      </c>
      <c r="M165" s="50">
        <f t="shared" si="32"/>
        <v>0</v>
      </c>
      <c r="N165" s="50">
        <f t="shared" si="32"/>
        <v>0</v>
      </c>
      <c r="O165" s="50">
        <f t="shared" si="32"/>
        <v>0</v>
      </c>
      <c r="P165" s="66">
        <f t="shared" si="32"/>
        <v>796200</v>
      </c>
      <c r="Q165" s="19"/>
      <c r="R165" s="19"/>
      <c r="S165" s="19"/>
      <c r="T165" s="19"/>
      <c r="U165" s="19"/>
    </row>
    <row r="166" spans="1:21" s="10" customFormat="1" x14ac:dyDescent="0.2">
      <c r="A166" s="37" t="s">
        <v>252</v>
      </c>
      <c r="B166" s="48" t="s">
        <v>158</v>
      </c>
      <c r="C166" s="21" t="s">
        <v>123</v>
      </c>
      <c r="D166" s="41" t="s">
        <v>251</v>
      </c>
      <c r="E166" s="47">
        <f>F166+I166</f>
        <v>184200</v>
      </c>
      <c r="F166" s="83">
        <v>184200</v>
      </c>
      <c r="G166" s="83"/>
      <c r="H166" s="83"/>
      <c r="I166" s="83"/>
      <c r="J166" s="47">
        <f>L166+O166</f>
        <v>0</v>
      </c>
      <c r="K166" s="83"/>
      <c r="L166" s="83"/>
      <c r="M166" s="83"/>
      <c r="N166" s="83"/>
      <c r="O166" s="83"/>
      <c r="P166" s="80">
        <f t="shared" ref="P166:P234" si="33">E166+J166</f>
        <v>184200</v>
      </c>
      <c r="Q166" s="8"/>
      <c r="R166" s="8"/>
      <c r="S166" s="8"/>
      <c r="T166" s="8"/>
      <c r="U166" s="8"/>
    </row>
    <row r="167" spans="1:21" s="10" customFormat="1" x14ac:dyDescent="0.2">
      <c r="A167" s="37" t="s">
        <v>254</v>
      </c>
      <c r="B167" s="48" t="s">
        <v>253</v>
      </c>
      <c r="C167" s="21" t="s">
        <v>25</v>
      </c>
      <c r="D167" s="41" t="s">
        <v>160</v>
      </c>
      <c r="E167" s="47">
        <f>F167+I167</f>
        <v>12000</v>
      </c>
      <c r="F167" s="83">
        <v>12000</v>
      </c>
      <c r="G167" s="83"/>
      <c r="H167" s="83"/>
      <c r="I167" s="83"/>
      <c r="J167" s="47">
        <f>L167+O167</f>
        <v>0</v>
      </c>
      <c r="K167" s="83"/>
      <c r="L167" s="83"/>
      <c r="M167" s="83"/>
      <c r="N167" s="83"/>
      <c r="O167" s="83"/>
      <c r="P167" s="80">
        <f t="shared" si="33"/>
        <v>12000</v>
      </c>
      <c r="Q167" s="8"/>
      <c r="R167" s="8"/>
      <c r="S167" s="8"/>
      <c r="T167" s="8"/>
      <c r="U167" s="8"/>
    </row>
    <row r="168" spans="1:21" s="10" customFormat="1" ht="25.5" hidden="1" x14ac:dyDescent="0.2">
      <c r="A168" s="37" t="s">
        <v>256</v>
      </c>
      <c r="B168" s="48" t="s">
        <v>159</v>
      </c>
      <c r="C168" s="21" t="s">
        <v>25</v>
      </c>
      <c r="D168" s="41" t="s">
        <v>255</v>
      </c>
      <c r="E168" s="47">
        <f>F168+I168</f>
        <v>0</v>
      </c>
      <c r="F168" s="83"/>
      <c r="G168" s="83"/>
      <c r="H168" s="83"/>
      <c r="I168" s="83"/>
      <c r="J168" s="47">
        <f>L168+O168</f>
        <v>0</v>
      </c>
      <c r="K168" s="83"/>
      <c r="L168" s="83"/>
      <c r="M168" s="83"/>
      <c r="N168" s="83"/>
      <c r="O168" s="83"/>
      <c r="P168" s="80">
        <f t="shared" si="33"/>
        <v>0</v>
      </c>
      <c r="Q168" s="8"/>
      <c r="R168" s="8"/>
      <c r="S168" s="8"/>
      <c r="T168" s="8"/>
      <c r="U168" s="8"/>
    </row>
    <row r="169" spans="1:21" s="10" customFormat="1" ht="25.5" x14ac:dyDescent="0.2">
      <c r="A169" s="37" t="s">
        <v>258</v>
      </c>
      <c r="B169" s="48" t="s">
        <v>257</v>
      </c>
      <c r="C169" s="21" t="s">
        <v>25</v>
      </c>
      <c r="D169" s="41" t="s">
        <v>161</v>
      </c>
      <c r="E169" s="47">
        <f>F169+I169</f>
        <v>600000</v>
      </c>
      <c r="F169" s="83">
        <v>600000</v>
      </c>
      <c r="G169" s="83"/>
      <c r="H169" s="83"/>
      <c r="I169" s="83"/>
      <c r="J169" s="47">
        <f>L169+O169</f>
        <v>0</v>
      </c>
      <c r="K169" s="83"/>
      <c r="L169" s="83"/>
      <c r="M169" s="83"/>
      <c r="N169" s="83"/>
      <c r="O169" s="83"/>
      <c r="P169" s="80">
        <f t="shared" si="33"/>
        <v>600000</v>
      </c>
      <c r="Q169" s="8"/>
      <c r="R169" s="8"/>
      <c r="S169" s="8"/>
      <c r="T169" s="8"/>
      <c r="U169" s="8"/>
    </row>
    <row r="170" spans="1:21" ht="25.5" hidden="1" x14ac:dyDescent="0.2">
      <c r="A170" s="38" t="s">
        <v>259</v>
      </c>
      <c r="B170" s="74" t="s">
        <v>153</v>
      </c>
      <c r="C170" s="72"/>
      <c r="D170" s="57" t="s">
        <v>453</v>
      </c>
      <c r="E170" s="50">
        <f t="shared" si="28"/>
        <v>0</v>
      </c>
      <c r="F170" s="51">
        <f>F171+F173+F175+F177+F179+F181+F183+F185+F187</f>
        <v>0</v>
      </c>
      <c r="G170" s="51">
        <f t="shared" ref="G170:O170" si="34">G171+G173+G175+G177+G179+G181+G183+G185+G187</f>
        <v>0</v>
      </c>
      <c r="H170" s="51">
        <f t="shared" si="34"/>
        <v>0</v>
      </c>
      <c r="I170" s="51">
        <f t="shared" si="34"/>
        <v>0</v>
      </c>
      <c r="J170" s="50">
        <f t="shared" si="29"/>
        <v>0</v>
      </c>
      <c r="K170" s="51">
        <f>K171+K173+K175+K177+K179+K181+K183+K185+K187</f>
        <v>0</v>
      </c>
      <c r="L170" s="51">
        <f t="shared" si="34"/>
        <v>0</v>
      </c>
      <c r="M170" s="51">
        <f t="shared" si="34"/>
        <v>0</v>
      </c>
      <c r="N170" s="51">
        <f t="shared" si="34"/>
        <v>0</v>
      </c>
      <c r="O170" s="51">
        <f t="shared" si="34"/>
        <v>0</v>
      </c>
      <c r="P170" s="66">
        <f t="shared" si="33"/>
        <v>0</v>
      </c>
      <c r="Q170" s="19"/>
      <c r="R170" s="19"/>
      <c r="S170" s="19"/>
      <c r="T170" s="19"/>
      <c r="U170" s="19"/>
    </row>
    <row r="171" spans="1:21" s="8" customFormat="1" hidden="1" x14ac:dyDescent="0.2">
      <c r="A171" s="37" t="s">
        <v>261</v>
      </c>
      <c r="B171" s="87" t="s">
        <v>41</v>
      </c>
      <c r="C171" s="24" t="s">
        <v>1</v>
      </c>
      <c r="D171" s="41" t="s">
        <v>260</v>
      </c>
      <c r="E171" s="50">
        <f t="shared" si="28"/>
        <v>0</v>
      </c>
      <c r="F171" s="83"/>
      <c r="G171" s="83"/>
      <c r="H171" s="83"/>
      <c r="I171" s="83"/>
      <c r="J171" s="50">
        <f t="shared" si="29"/>
        <v>0</v>
      </c>
      <c r="K171" s="83"/>
      <c r="L171" s="83"/>
      <c r="M171" s="83"/>
      <c r="N171" s="83"/>
      <c r="O171" s="83"/>
      <c r="P171" s="66">
        <f t="shared" si="33"/>
        <v>0</v>
      </c>
    </row>
    <row r="172" spans="1:21" s="19" customFormat="1" ht="114.75" hidden="1" x14ac:dyDescent="0.2">
      <c r="A172" s="38"/>
      <c r="B172" s="31"/>
      <c r="C172" s="72"/>
      <c r="D172" s="55" t="s">
        <v>448</v>
      </c>
      <c r="E172" s="50">
        <f t="shared" si="28"/>
        <v>0</v>
      </c>
      <c r="F172" s="51">
        <f>F171</f>
        <v>0</v>
      </c>
      <c r="G172" s="51"/>
      <c r="H172" s="51"/>
      <c r="I172" s="51"/>
      <c r="J172" s="50">
        <f t="shared" si="29"/>
        <v>0</v>
      </c>
      <c r="K172" s="51"/>
      <c r="L172" s="51"/>
      <c r="M172" s="51"/>
      <c r="N172" s="51"/>
      <c r="O172" s="51"/>
      <c r="P172" s="66">
        <f t="shared" si="33"/>
        <v>0</v>
      </c>
    </row>
    <row r="173" spans="1:21" s="8" customFormat="1" hidden="1" x14ac:dyDescent="0.2">
      <c r="A173" s="37" t="s">
        <v>262</v>
      </c>
      <c r="B173" s="87" t="s">
        <v>42</v>
      </c>
      <c r="C173" s="24" t="s">
        <v>1</v>
      </c>
      <c r="D173" s="23" t="s">
        <v>107</v>
      </c>
      <c r="E173" s="50">
        <f t="shared" si="28"/>
        <v>0</v>
      </c>
      <c r="F173" s="83"/>
      <c r="G173" s="83"/>
      <c r="H173" s="83"/>
      <c r="I173" s="83"/>
      <c r="J173" s="50">
        <f t="shared" si="29"/>
        <v>0</v>
      </c>
      <c r="K173" s="83"/>
      <c r="L173" s="83"/>
      <c r="M173" s="83"/>
      <c r="N173" s="83"/>
      <c r="O173" s="83"/>
      <c r="P173" s="66">
        <f t="shared" si="33"/>
        <v>0</v>
      </c>
    </row>
    <row r="174" spans="1:21" s="19" customFormat="1" ht="114.75" hidden="1" x14ac:dyDescent="0.2">
      <c r="A174" s="38"/>
      <c r="B174" s="31"/>
      <c r="C174" s="72"/>
      <c r="D174" s="55" t="s">
        <v>448</v>
      </c>
      <c r="E174" s="50">
        <f t="shared" si="28"/>
        <v>0</v>
      </c>
      <c r="F174" s="51">
        <f>F173</f>
        <v>0</v>
      </c>
      <c r="G174" s="51"/>
      <c r="H174" s="51"/>
      <c r="I174" s="51"/>
      <c r="J174" s="50">
        <f t="shared" si="29"/>
        <v>0</v>
      </c>
      <c r="K174" s="51"/>
      <c r="L174" s="51"/>
      <c r="M174" s="51"/>
      <c r="N174" s="51"/>
      <c r="O174" s="51"/>
      <c r="P174" s="66">
        <f t="shared" si="33"/>
        <v>0</v>
      </c>
    </row>
    <row r="175" spans="1:21" s="8" customFormat="1" hidden="1" x14ac:dyDescent="0.2">
      <c r="A175" s="37" t="s">
        <v>263</v>
      </c>
      <c r="B175" s="87" t="s">
        <v>43</v>
      </c>
      <c r="C175" s="24" t="s">
        <v>1</v>
      </c>
      <c r="D175" s="23" t="s">
        <v>103</v>
      </c>
      <c r="E175" s="50">
        <f t="shared" si="28"/>
        <v>0</v>
      </c>
      <c r="F175" s="83"/>
      <c r="G175" s="83"/>
      <c r="H175" s="83"/>
      <c r="I175" s="83"/>
      <c r="J175" s="50">
        <f t="shared" si="29"/>
        <v>0</v>
      </c>
      <c r="K175" s="83"/>
      <c r="L175" s="83"/>
      <c r="M175" s="83"/>
      <c r="N175" s="83"/>
      <c r="O175" s="83"/>
      <c r="P175" s="66">
        <f t="shared" si="33"/>
        <v>0</v>
      </c>
    </row>
    <row r="176" spans="1:21" s="19" customFormat="1" ht="114.75" hidden="1" x14ac:dyDescent="0.2">
      <c r="A176" s="38"/>
      <c r="B176" s="31"/>
      <c r="C176" s="72"/>
      <c r="D176" s="55" t="s">
        <v>448</v>
      </c>
      <c r="E176" s="50">
        <f t="shared" si="28"/>
        <v>0</v>
      </c>
      <c r="F176" s="51">
        <f>F175</f>
        <v>0</v>
      </c>
      <c r="G176" s="51"/>
      <c r="H176" s="51"/>
      <c r="I176" s="51"/>
      <c r="J176" s="50">
        <f t="shared" si="29"/>
        <v>0</v>
      </c>
      <c r="K176" s="51"/>
      <c r="L176" s="51"/>
      <c r="M176" s="51"/>
      <c r="N176" s="51"/>
      <c r="O176" s="51"/>
      <c r="P176" s="66">
        <f t="shared" si="33"/>
        <v>0</v>
      </c>
    </row>
    <row r="177" spans="1:21" s="8" customFormat="1" hidden="1" x14ac:dyDescent="0.2">
      <c r="A177" s="37" t="s">
        <v>264</v>
      </c>
      <c r="B177" s="87" t="s">
        <v>44</v>
      </c>
      <c r="C177" s="24" t="s">
        <v>1</v>
      </c>
      <c r="D177" s="53" t="s">
        <v>104</v>
      </c>
      <c r="E177" s="50">
        <f t="shared" si="28"/>
        <v>0</v>
      </c>
      <c r="F177" s="83"/>
      <c r="G177" s="83"/>
      <c r="H177" s="83"/>
      <c r="I177" s="83"/>
      <c r="J177" s="50">
        <f t="shared" si="29"/>
        <v>0</v>
      </c>
      <c r="K177" s="83"/>
      <c r="L177" s="83"/>
      <c r="M177" s="83"/>
      <c r="N177" s="83"/>
      <c r="O177" s="83"/>
      <c r="P177" s="66">
        <f t="shared" si="33"/>
        <v>0</v>
      </c>
    </row>
    <row r="178" spans="1:21" s="19" customFormat="1" ht="114.75" hidden="1" x14ac:dyDescent="0.2">
      <c r="A178" s="38"/>
      <c r="B178" s="31"/>
      <c r="C178" s="72"/>
      <c r="D178" s="55" t="s">
        <v>448</v>
      </c>
      <c r="E178" s="50">
        <f t="shared" si="28"/>
        <v>0</v>
      </c>
      <c r="F178" s="51">
        <f>F177</f>
        <v>0</v>
      </c>
      <c r="G178" s="51"/>
      <c r="H178" s="51"/>
      <c r="I178" s="51"/>
      <c r="J178" s="50">
        <f t="shared" si="29"/>
        <v>0</v>
      </c>
      <c r="K178" s="51"/>
      <c r="L178" s="51"/>
      <c r="M178" s="51"/>
      <c r="N178" s="51"/>
      <c r="O178" s="51"/>
      <c r="P178" s="66">
        <f t="shared" si="33"/>
        <v>0</v>
      </c>
    </row>
    <row r="179" spans="1:21" s="8" customFormat="1" hidden="1" x14ac:dyDescent="0.2">
      <c r="A179" s="37" t="s">
        <v>265</v>
      </c>
      <c r="B179" s="87" t="s">
        <v>45</v>
      </c>
      <c r="C179" s="24" t="s">
        <v>1</v>
      </c>
      <c r="D179" s="41" t="s">
        <v>105</v>
      </c>
      <c r="E179" s="50">
        <f t="shared" si="28"/>
        <v>0</v>
      </c>
      <c r="F179" s="83"/>
      <c r="G179" s="83"/>
      <c r="H179" s="83"/>
      <c r="I179" s="83"/>
      <c r="J179" s="50">
        <f t="shared" si="29"/>
        <v>0</v>
      </c>
      <c r="K179" s="83"/>
      <c r="L179" s="83"/>
      <c r="M179" s="83"/>
      <c r="N179" s="83"/>
      <c r="O179" s="83"/>
      <c r="P179" s="66">
        <f t="shared" si="33"/>
        <v>0</v>
      </c>
    </row>
    <row r="180" spans="1:21" s="19" customFormat="1" ht="114.75" hidden="1" x14ac:dyDescent="0.2">
      <c r="A180" s="38"/>
      <c r="B180" s="31"/>
      <c r="C180" s="72"/>
      <c r="D180" s="55" t="s">
        <v>448</v>
      </c>
      <c r="E180" s="50">
        <f t="shared" si="28"/>
        <v>0</v>
      </c>
      <c r="F180" s="51">
        <f>F179</f>
        <v>0</v>
      </c>
      <c r="G180" s="51"/>
      <c r="H180" s="51"/>
      <c r="I180" s="51"/>
      <c r="J180" s="50">
        <f t="shared" si="29"/>
        <v>0</v>
      </c>
      <c r="K180" s="51"/>
      <c r="L180" s="51"/>
      <c r="M180" s="51"/>
      <c r="N180" s="51"/>
      <c r="O180" s="51"/>
      <c r="P180" s="66">
        <f t="shared" si="33"/>
        <v>0</v>
      </c>
    </row>
    <row r="181" spans="1:21" s="8" customFormat="1" hidden="1" x14ac:dyDescent="0.2">
      <c r="A181" s="37" t="s">
        <v>266</v>
      </c>
      <c r="B181" s="87" t="s">
        <v>46</v>
      </c>
      <c r="C181" s="24" t="s">
        <v>1</v>
      </c>
      <c r="D181" s="41" t="s">
        <v>106</v>
      </c>
      <c r="E181" s="50">
        <f t="shared" si="28"/>
        <v>0</v>
      </c>
      <c r="F181" s="83"/>
      <c r="G181" s="83"/>
      <c r="H181" s="83"/>
      <c r="I181" s="83"/>
      <c r="J181" s="50">
        <f t="shared" si="29"/>
        <v>0</v>
      </c>
      <c r="K181" s="83"/>
      <c r="L181" s="83"/>
      <c r="M181" s="83"/>
      <c r="N181" s="83"/>
      <c r="O181" s="83"/>
      <c r="P181" s="66">
        <f t="shared" si="33"/>
        <v>0</v>
      </c>
    </row>
    <row r="182" spans="1:21" s="19" customFormat="1" ht="114.75" hidden="1" x14ac:dyDescent="0.2">
      <c r="A182" s="38"/>
      <c r="B182" s="31"/>
      <c r="C182" s="72"/>
      <c r="D182" s="55" t="s">
        <v>448</v>
      </c>
      <c r="E182" s="50">
        <f t="shared" si="28"/>
        <v>0</v>
      </c>
      <c r="F182" s="51">
        <f>F181</f>
        <v>0</v>
      </c>
      <c r="G182" s="51"/>
      <c r="H182" s="51"/>
      <c r="I182" s="51"/>
      <c r="J182" s="50">
        <f t="shared" si="29"/>
        <v>0</v>
      </c>
      <c r="K182" s="51"/>
      <c r="L182" s="51"/>
      <c r="M182" s="51"/>
      <c r="N182" s="51"/>
      <c r="O182" s="51"/>
      <c r="P182" s="66">
        <f t="shared" si="33"/>
        <v>0</v>
      </c>
    </row>
    <row r="183" spans="1:21" s="8" customFormat="1" hidden="1" x14ac:dyDescent="0.2">
      <c r="A183" s="37" t="s">
        <v>267</v>
      </c>
      <c r="B183" s="87" t="s">
        <v>47</v>
      </c>
      <c r="C183" s="24" t="s">
        <v>1</v>
      </c>
      <c r="D183" s="91" t="s">
        <v>454</v>
      </c>
      <c r="E183" s="50">
        <f>F183+I183</f>
        <v>0</v>
      </c>
      <c r="F183" s="83"/>
      <c r="G183" s="83"/>
      <c r="H183" s="83"/>
      <c r="I183" s="83"/>
      <c r="J183" s="50">
        <f t="shared" si="29"/>
        <v>0</v>
      </c>
      <c r="K183" s="83"/>
      <c r="L183" s="83"/>
      <c r="M183" s="83"/>
      <c r="N183" s="83"/>
      <c r="O183" s="83"/>
      <c r="P183" s="66">
        <f t="shared" si="33"/>
        <v>0</v>
      </c>
    </row>
    <row r="184" spans="1:21" s="19" customFormat="1" ht="114.75" hidden="1" x14ac:dyDescent="0.2">
      <c r="A184" s="38"/>
      <c r="B184" s="31"/>
      <c r="C184" s="72"/>
      <c r="D184" s="55" t="s">
        <v>448</v>
      </c>
      <c r="E184" s="50">
        <f>F184+I184</f>
        <v>0</v>
      </c>
      <c r="F184" s="51">
        <f>F183</f>
        <v>0</v>
      </c>
      <c r="G184" s="51"/>
      <c r="H184" s="51"/>
      <c r="I184" s="51"/>
      <c r="J184" s="50">
        <f t="shared" si="29"/>
        <v>0</v>
      </c>
      <c r="K184" s="51"/>
      <c r="L184" s="51"/>
      <c r="M184" s="51"/>
      <c r="N184" s="51"/>
      <c r="O184" s="51"/>
      <c r="P184" s="66">
        <f t="shared" si="33"/>
        <v>0</v>
      </c>
    </row>
    <row r="185" spans="1:21" s="8" customFormat="1" hidden="1" x14ac:dyDescent="0.2">
      <c r="A185" s="37" t="s">
        <v>269</v>
      </c>
      <c r="B185" s="87" t="s">
        <v>48</v>
      </c>
      <c r="C185" s="24" t="s">
        <v>1</v>
      </c>
      <c r="D185" s="41" t="s">
        <v>268</v>
      </c>
      <c r="E185" s="50">
        <f t="shared" si="28"/>
        <v>0</v>
      </c>
      <c r="F185" s="83"/>
      <c r="G185" s="83"/>
      <c r="H185" s="83"/>
      <c r="I185" s="83"/>
      <c r="J185" s="50">
        <f t="shared" si="29"/>
        <v>0</v>
      </c>
      <c r="K185" s="83"/>
      <c r="L185" s="83"/>
      <c r="M185" s="83"/>
      <c r="N185" s="83"/>
      <c r="O185" s="83"/>
      <c r="P185" s="66">
        <f t="shared" si="33"/>
        <v>0</v>
      </c>
    </row>
    <row r="186" spans="1:21" s="19" customFormat="1" ht="114.75" hidden="1" x14ac:dyDescent="0.2">
      <c r="A186" s="38"/>
      <c r="B186" s="31"/>
      <c r="C186" s="72"/>
      <c r="D186" s="55" t="s">
        <v>448</v>
      </c>
      <c r="E186" s="50">
        <f t="shared" si="28"/>
        <v>0</v>
      </c>
      <c r="F186" s="51">
        <f>F185</f>
        <v>0</v>
      </c>
      <c r="G186" s="51"/>
      <c r="H186" s="51"/>
      <c r="I186" s="51"/>
      <c r="J186" s="50">
        <f t="shared" si="29"/>
        <v>0</v>
      </c>
      <c r="K186" s="51"/>
      <c r="L186" s="51"/>
      <c r="M186" s="51"/>
      <c r="N186" s="51"/>
      <c r="O186" s="51"/>
      <c r="P186" s="66">
        <f t="shared" si="33"/>
        <v>0</v>
      </c>
    </row>
    <row r="187" spans="1:21" s="10" customFormat="1" ht="20.25" hidden="1" customHeight="1" x14ac:dyDescent="0.2">
      <c r="A187" s="37" t="s">
        <v>270</v>
      </c>
      <c r="B187" s="48" t="s">
        <v>49</v>
      </c>
      <c r="C187" s="24" t="s">
        <v>1</v>
      </c>
      <c r="D187" s="41" t="s">
        <v>584</v>
      </c>
      <c r="E187" s="50">
        <f t="shared" si="28"/>
        <v>0</v>
      </c>
      <c r="F187" s="83">
        <f>F188</f>
        <v>0</v>
      </c>
      <c r="G187" s="83"/>
      <c r="H187" s="83"/>
      <c r="I187" s="83"/>
      <c r="J187" s="50">
        <f t="shared" si="29"/>
        <v>0</v>
      </c>
      <c r="K187" s="83"/>
      <c r="L187" s="83"/>
      <c r="M187" s="83"/>
      <c r="N187" s="83"/>
      <c r="O187" s="83"/>
      <c r="P187" s="66">
        <f t="shared" si="33"/>
        <v>0</v>
      </c>
      <c r="Q187" s="8"/>
      <c r="R187" s="8"/>
      <c r="S187" s="8"/>
      <c r="T187" s="8"/>
      <c r="U187" s="8"/>
    </row>
    <row r="188" spans="1:21" ht="114.75" hidden="1" x14ac:dyDescent="0.2">
      <c r="A188" s="38"/>
      <c r="B188" s="74"/>
      <c r="C188" s="72" t="s">
        <v>63</v>
      </c>
      <c r="D188" s="55" t="s">
        <v>448</v>
      </c>
      <c r="E188" s="50">
        <f t="shared" si="28"/>
        <v>0</v>
      </c>
      <c r="F188" s="51"/>
      <c r="G188" s="51"/>
      <c r="H188" s="51"/>
      <c r="I188" s="51"/>
      <c r="J188" s="50">
        <f t="shared" si="29"/>
        <v>0</v>
      </c>
      <c r="K188" s="51"/>
      <c r="L188" s="51"/>
      <c r="M188" s="51"/>
      <c r="N188" s="51"/>
      <c r="O188" s="51"/>
      <c r="P188" s="66">
        <f t="shared" si="33"/>
        <v>0</v>
      </c>
      <c r="Q188" s="19"/>
      <c r="R188" s="19"/>
      <c r="S188" s="19"/>
      <c r="T188" s="19"/>
      <c r="U188" s="19"/>
    </row>
    <row r="189" spans="1:21" ht="76.5" hidden="1" x14ac:dyDescent="0.2">
      <c r="A189" s="38" t="s">
        <v>271</v>
      </c>
      <c r="B189" s="92" t="s">
        <v>50</v>
      </c>
      <c r="C189" s="72"/>
      <c r="D189" s="55" t="s">
        <v>477</v>
      </c>
      <c r="E189" s="50">
        <f t="shared" si="28"/>
        <v>0</v>
      </c>
      <c r="F189" s="51">
        <f>F191+F193+F195+F197+F199+F201</f>
        <v>0</v>
      </c>
      <c r="G189" s="51"/>
      <c r="H189" s="51"/>
      <c r="I189" s="51"/>
      <c r="J189" s="50">
        <f t="shared" si="29"/>
        <v>0</v>
      </c>
      <c r="K189" s="51"/>
      <c r="L189" s="51"/>
      <c r="M189" s="51"/>
      <c r="N189" s="51"/>
      <c r="O189" s="51"/>
      <c r="P189" s="66">
        <f t="shared" si="33"/>
        <v>0</v>
      </c>
      <c r="Q189" s="19"/>
      <c r="R189" s="19"/>
      <c r="S189" s="19"/>
      <c r="T189" s="19"/>
      <c r="U189" s="19"/>
    </row>
    <row r="190" spans="1:21" hidden="1" x14ac:dyDescent="0.2">
      <c r="A190" s="38"/>
      <c r="B190" s="31"/>
      <c r="C190" s="72"/>
      <c r="D190" s="55"/>
      <c r="E190" s="50">
        <f t="shared" si="28"/>
        <v>0</v>
      </c>
      <c r="F190" s="51"/>
      <c r="G190" s="51"/>
      <c r="H190" s="51"/>
      <c r="I190" s="51"/>
      <c r="J190" s="50">
        <f t="shared" si="29"/>
        <v>0</v>
      </c>
      <c r="K190" s="51"/>
      <c r="L190" s="51"/>
      <c r="M190" s="51"/>
      <c r="N190" s="51"/>
      <c r="O190" s="51"/>
      <c r="P190" s="66">
        <f t="shared" si="33"/>
        <v>0</v>
      </c>
      <c r="Q190" s="19"/>
      <c r="R190" s="19"/>
      <c r="S190" s="19"/>
      <c r="T190" s="19"/>
      <c r="U190" s="19"/>
    </row>
    <row r="191" spans="1:21" s="10" customFormat="1" ht="25.5" hidden="1" x14ac:dyDescent="0.2">
      <c r="A191" s="37" t="s">
        <v>466</v>
      </c>
      <c r="B191" s="87" t="s">
        <v>461</v>
      </c>
      <c r="C191" s="24" t="s">
        <v>60</v>
      </c>
      <c r="D191" s="41" t="s">
        <v>471</v>
      </c>
      <c r="E191" s="47">
        <f>F191+J191</f>
        <v>0</v>
      </c>
      <c r="F191" s="83"/>
      <c r="G191" s="83"/>
      <c r="H191" s="83"/>
      <c r="I191" s="83"/>
      <c r="J191" s="47"/>
      <c r="K191" s="83"/>
      <c r="L191" s="83"/>
      <c r="M191" s="83"/>
      <c r="N191" s="83"/>
      <c r="O191" s="83"/>
      <c r="P191" s="66">
        <f t="shared" si="33"/>
        <v>0</v>
      </c>
      <c r="Q191" s="8"/>
      <c r="R191" s="8"/>
      <c r="S191" s="8"/>
      <c r="T191" s="8"/>
      <c r="U191" s="8"/>
    </row>
    <row r="192" spans="1:21" s="10" customFormat="1" ht="114.75" hidden="1" x14ac:dyDescent="0.2">
      <c r="A192" s="37"/>
      <c r="B192" s="87"/>
      <c r="C192" s="24"/>
      <c r="D192" s="55" t="s">
        <v>448</v>
      </c>
      <c r="E192" s="50">
        <f t="shared" ref="E192:E200" si="35">F192+J192</f>
        <v>0</v>
      </c>
      <c r="F192" s="51">
        <f>F191</f>
        <v>0</v>
      </c>
      <c r="G192" s="83"/>
      <c r="H192" s="83"/>
      <c r="I192" s="83"/>
      <c r="J192" s="47"/>
      <c r="K192" s="83"/>
      <c r="L192" s="83"/>
      <c r="M192" s="83"/>
      <c r="N192" s="83"/>
      <c r="O192" s="83"/>
      <c r="P192" s="66">
        <f t="shared" si="33"/>
        <v>0</v>
      </c>
      <c r="Q192" s="8"/>
      <c r="R192" s="8"/>
      <c r="S192" s="8"/>
      <c r="T192" s="8"/>
      <c r="U192" s="8"/>
    </row>
    <row r="193" spans="1:21" s="10" customFormat="1" ht="25.5" hidden="1" x14ac:dyDescent="0.2">
      <c r="A193" s="37" t="s">
        <v>467</v>
      </c>
      <c r="B193" s="87" t="s">
        <v>462</v>
      </c>
      <c r="C193" s="24" t="s">
        <v>60</v>
      </c>
      <c r="D193" s="41" t="s">
        <v>472</v>
      </c>
      <c r="E193" s="47">
        <f t="shared" si="35"/>
        <v>0</v>
      </c>
      <c r="F193" s="83">
        <f>F194</f>
        <v>0</v>
      </c>
      <c r="G193" s="83"/>
      <c r="H193" s="83"/>
      <c r="I193" s="83"/>
      <c r="J193" s="47"/>
      <c r="K193" s="83"/>
      <c r="L193" s="83"/>
      <c r="M193" s="83"/>
      <c r="N193" s="83"/>
      <c r="O193" s="83"/>
      <c r="P193" s="66">
        <f t="shared" si="33"/>
        <v>0</v>
      </c>
      <c r="Q193" s="8"/>
      <c r="R193" s="8"/>
      <c r="S193" s="8"/>
      <c r="T193" s="8"/>
      <c r="U193" s="8"/>
    </row>
    <row r="194" spans="1:21" s="10" customFormat="1" ht="114.75" hidden="1" x14ac:dyDescent="0.2">
      <c r="A194" s="37"/>
      <c r="B194" s="87"/>
      <c r="C194" s="24"/>
      <c r="D194" s="55" t="s">
        <v>448</v>
      </c>
      <c r="E194" s="50">
        <f t="shared" si="35"/>
        <v>0</v>
      </c>
      <c r="F194" s="51"/>
      <c r="G194" s="83"/>
      <c r="H194" s="83"/>
      <c r="I194" s="83"/>
      <c r="J194" s="47"/>
      <c r="K194" s="83"/>
      <c r="L194" s="83"/>
      <c r="M194" s="83"/>
      <c r="N194" s="83"/>
      <c r="O194" s="83"/>
      <c r="P194" s="66">
        <f t="shared" si="33"/>
        <v>0</v>
      </c>
      <c r="Q194" s="8"/>
      <c r="R194" s="8"/>
      <c r="S194" s="8"/>
      <c r="T194" s="8"/>
      <c r="U194" s="8"/>
    </row>
    <row r="195" spans="1:21" s="10" customFormat="1" ht="25.5" hidden="1" x14ac:dyDescent="0.2">
      <c r="A195" s="37" t="s">
        <v>468</v>
      </c>
      <c r="B195" s="87" t="s">
        <v>463</v>
      </c>
      <c r="C195" s="24" t="s">
        <v>60</v>
      </c>
      <c r="D195" s="41" t="s">
        <v>473</v>
      </c>
      <c r="E195" s="47">
        <f t="shared" si="35"/>
        <v>0</v>
      </c>
      <c r="F195" s="83"/>
      <c r="G195" s="83"/>
      <c r="H195" s="83"/>
      <c r="I195" s="83"/>
      <c r="J195" s="47"/>
      <c r="K195" s="83"/>
      <c r="L195" s="83"/>
      <c r="M195" s="83"/>
      <c r="N195" s="83"/>
      <c r="O195" s="83"/>
      <c r="P195" s="66">
        <f t="shared" si="33"/>
        <v>0</v>
      </c>
      <c r="Q195" s="8"/>
      <c r="R195" s="8"/>
      <c r="S195" s="8"/>
      <c r="T195" s="8"/>
      <c r="U195" s="8"/>
    </row>
    <row r="196" spans="1:21" s="10" customFormat="1" ht="114.75" hidden="1" x14ac:dyDescent="0.2">
      <c r="A196" s="37"/>
      <c r="B196" s="87"/>
      <c r="C196" s="24"/>
      <c r="D196" s="55" t="s">
        <v>448</v>
      </c>
      <c r="E196" s="50">
        <f t="shared" si="35"/>
        <v>0</v>
      </c>
      <c r="F196" s="51">
        <f>F195</f>
        <v>0</v>
      </c>
      <c r="G196" s="83"/>
      <c r="H196" s="83"/>
      <c r="I196" s="83"/>
      <c r="J196" s="47"/>
      <c r="K196" s="83"/>
      <c r="L196" s="83"/>
      <c r="M196" s="83"/>
      <c r="N196" s="83"/>
      <c r="O196" s="83"/>
      <c r="P196" s="66">
        <f t="shared" si="33"/>
        <v>0</v>
      </c>
      <c r="Q196" s="8"/>
      <c r="R196" s="8"/>
      <c r="S196" s="8"/>
      <c r="T196" s="8"/>
      <c r="U196" s="8"/>
    </row>
    <row r="197" spans="1:21" s="10" customFormat="1" ht="25.5" hidden="1" x14ac:dyDescent="0.2">
      <c r="A197" s="37" t="s">
        <v>469</v>
      </c>
      <c r="B197" s="87" t="s">
        <v>464</v>
      </c>
      <c r="C197" s="24" t="s">
        <v>60</v>
      </c>
      <c r="D197" s="41" t="s">
        <v>474</v>
      </c>
      <c r="E197" s="47">
        <f t="shared" si="35"/>
        <v>0</v>
      </c>
      <c r="F197" s="83"/>
      <c r="G197" s="83"/>
      <c r="H197" s="83"/>
      <c r="I197" s="83"/>
      <c r="J197" s="47"/>
      <c r="K197" s="83"/>
      <c r="L197" s="83"/>
      <c r="M197" s="83"/>
      <c r="N197" s="83"/>
      <c r="O197" s="83"/>
      <c r="P197" s="66">
        <f t="shared" si="33"/>
        <v>0</v>
      </c>
      <c r="Q197" s="8"/>
      <c r="R197" s="8"/>
      <c r="S197" s="8"/>
      <c r="T197" s="8"/>
      <c r="U197" s="8"/>
    </row>
    <row r="198" spans="1:21" s="10" customFormat="1" ht="114.75" hidden="1" x14ac:dyDescent="0.2">
      <c r="A198" s="37"/>
      <c r="B198" s="87"/>
      <c r="C198" s="24"/>
      <c r="D198" s="55" t="s">
        <v>448</v>
      </c>
      <c r="E198" s="50">
        <f t="shared" si="35"/>
        <v>0</v>
      </c>
      <c r="F198" s="51">
        <f>F197</f>
        <v>0</v>
      </c>
      <c r="G198" s="83"/>
      <c r="H198" s="83"/>
      <c r="I198" s="83"/>
      <c r="J198" s="47"/>
      <c r="K198" s="83"/>
      <c r="L198" s="83"/>
      <c r="M198" s="83"/>
      <c r="N198" s="83"/>
      <c r="O198" s="83"/>
      <c r="P198" s="66">
        <f t="shared" si="33"/>
        <v>0</v>
      </c>
      <c r="Q198" s="8"/>
      <c r="R198" s="8"/>
      <c r="S198" s="8"/>
      <c r="T198" s="8"/>
      <c r="U198" s="8"/>
    </row>
    <row r="199" spans="1:21" s="10" customFormat="1" ht="38.25" hidden="1" x14ac:dyDescent="0.2">
      <c r="A199" s="37" t="s">
        <v>470</v>
      </c>
      <c r="B199" s="87" t="s">
        <v>465</v>
      </c>
      <c r="C199" s="24" t="s">
        <v>60</v>
      </c>
      <c r="D199" s="41" t="s">
        <v>475</v>
      </c>
      <c r="E199" s="47">
        <f t="shared" si="35"/>
        <v>0</v>
      </c>
      <c r="F199" s="83">
        <f>F200</f>
        <v>0</v>
      </c>
      <c r="G199" s="83"/>
      <c r="H199" s="83"/>
      <c r="I199" s="83"/>
      <c r="J199" s="47"/>
      <c r="K199" s="83"/>
      <c r="L199" s="83"/>
      <c r="M199" s="83"/>
      <c r="N199" s="83"/>
      <c r="O199" s="83"/>
      <c r="P199" s="66">
        <f t="shared" si="33"/>
        <v>0</v>
      </c>
      <c r="Q199" s="8"/>
      <c r="R199" s="8"/>
      <c r="S199" s="8"/>
      <c r="T199" s="8"/>
      <c r="U199" s="8"/>
    </row>
    <row r="200" spans="1:21" s="10" customFormat="1" ht="114.75" hidden="1" x14ac:dyDescent="0.2">
      <c r="A200" s="37"/>
      <c r="B200" s="87"/>
      <c r="C200" s="24"/>
      <c r="D200" s="55" t="s">
        <v>448</v>
      </c>
      <c r="E200" s="50">
        <f t="shared" si="35"/>
        <v>0</v>
      </c>
      <c r="F200" s="51"/>
      <c r="G200" s="83"/>
      <c r="H200" s="83"/>
      <c r="I200" s="83"/>
      <c r="J200" s="47"/>
      <c r="K200" s="83"/>
      <c r="L200" s="83"/>
      <c r="M200" s="83"/>
      <c r="N200" s="83"/>
      <c r="O200" s="83"/>
      <c r="P200" s="66">
        <f t="shared" si="33"/>
        <v>0</v>
      </c>
      <c r="Q200" s="8"/>
      <c r="R200" s="8"/>
      <c r="S200" s="8"/>
      <c r="T200" s="8"/>
      <c r="U200" s="8"/>
    </row>
    <row r="201" spans="1:21" s="10" customFormat="1" ht="89.25" hidden="1" x14ac:dyDescent="0.2">
      <c r="A201" s="37" t="s">
        <v>581</v>
      </c>
      <c r="B201" s="87" t="s">
        <v>582</v>
      </c>
      <c r="C201" s="24" t="s">
        <v>1</v>
      </c>
      <c r="D201" s="41" t="s">
        <v>585</v>
      </c>
      <c r="E201" s="50">
        <f>F201</f>
        <v>0</v>
      </c>
      <c r="F201" s="51">
        <f>F202</f>
        <v>0</v>
      </c>
      <c r="G201" s="83"/>
      <c r="H201" s="83"/>
      <c r="I201" s="83"/>
      <c r="J201" s="47"/>
      <c r="K201" s="83"/>
      <c r="L201" s="83"/>
      <c r="M201" s="83"/>
      <c r="N201" s="83"/>
      <c r="O201" s="83"/>
      <c r="P201" s="66">
        <f t="shared" si="33"/>
        <v>0</v>
      </c>
      <c r="Q201" s="8"/>
      <c r="R201" s="8"/>
      <c r="S201" s="8"/>
      <c r="T201" s="8"/>
      <c r="U201" s="8"/>
    </row>
    <row r="202" spans="1:21" s="10" customFormat="1" ht="114.75" hidden="1" x14ac:dyDescent="0.2">
      <c r="A202" s="37"/>
      <c r="B202" s="87"/>
      <c r="C202" s="24"/>
      <c r="D202" s="55" t="s">
        <v>448</v>
      </c>
      <c r="E202" s="50">
        <f>F202</f>
        <v>0</v>
      </c>
      <c r="F202" s="51"/>
      <c r="G202" s="83"/>
      <c r="H202" s="83"/>
      <c r="I202" s="83"/>
      <c r="J202" s="47"/>
      <c r="K202" s="83"/>
      <c r="L202" s="83"/>
      <c r="M202" s="83"/>
      <c r="N202" s="83"/>
      <c r="O202" s="83"/>
      <c r="P202" s="66">
        <f t="shared" si="33"/>
        <v>0</v>
      </c>
      <c r="Q202" s="8"/>
      <c r="R202" s="8"/>
      <c r="S202" s="8"/>
      <c r="T202" s="8"/>
      <c r="U202" s="8"/>
    </row>
    <row r="203" spans="1:21" ht="25.5" hidden="1" x14ac:dyDescent="0.2">
      <c r="A203" s="38" t="s">
        <v>283</v>
      </c>
      <c r="B203" s="93" t="s">
        <v>155</v>
      </c>
      <c r="C203" s="93" t="s">
        <v>60</v>
      </c>
      <c r="D203" s="94" t="s">
        <v>425</v>
      </c>
      <c r="E203" s="50">
        <f>F203</f>
        <v>8559800</v>
      </c>
      <c r="F203" s="51">
        <f>SUM(F206:F207)</f>
        <v>8559800</v>
      </c>
      <c r="G203" s="51">
        <f>SUM(G206:G207)</f>
        <v>6066265</v>
      </c>
      <c r="H203" s="51">
        <f>SUM(H206:H207)</f>
        <v>302498</v>
      </c>
      <c r="I203" s="51">
        <f>SUM(I206:I207)</f>
        <v>0</v>
      </c>
      <c r="J203" s="50">
        <f>L203+O203</f>
        <v>754292</v>
      </c>
      <c r="K203" s="51">
        <f>K206+K207</f>
        <v>127500</v>
      </c>
      <c r="L203" s="51">
        <f>L206</f>
        <v>626792</v>
      </c>
      <c r="M203" s="51">
        <f>M206</f>
        <v>37780</v>
      </c>
      <c r="N203" s="51">
        <f>N206</f>
        <v>382800</v>
      </c>
      <c r="O203" s="51">
        <f>O206+O207</f>
        <v>127500</v>
      </c>
      <c r="P203" s="66">
        <f t="shared" si="33"/>
        <v>9314092</v>
      </c>
      <c r="Q203" s="19"/>
      <c r="R203" s="19"/>
      <c r="S203" s="19"/>
      <c r="T203" s="19"/>
      <c r="U203" s="19"/>
    </row>
    <row r="204" spans="1:21" hidden="1" x14ac:dyDescent="0.2">
      <c r="A204" s="38" t="s">
        <v>594</v>
      </c>
      <c r="B204" s="93" t="s">
        <v>596</v>
      </c>
      <c r="C204" s="93" t="s">
        <v>1</v>
      </c>
      <c r="D204" s="94" t="s">
        <v>595</v>
      </c>
      <c r="E204" s="50">
        <f>F204</f>
        <v>0</v>
      </c>
      <c r="F204" s="51"/>
      <c r="G204" s="51"/>
      <c r="H204" s="51"/>
      <c r="I204" s="51"/>
      <c r="J204" s="50"/>
      <c r="K204" s="51"/>
      <c r="L204" s="51"/>
      <c r="M204" s="51"/>
      <c r="N204" s="51"/>
      <c r="O204" s="51"/>
      <c r="P204" s="66">
        <f t="shared" si="33"/>
        <v>0</v>
      </c>
      <c r="Q204" s="19"/>
      <c r="R204" s="19"/>
      <c r="S204" s="19"/>
      <c r="T204" s="19"/>
      <c r="U204" s="19"/>
    </row>
    <row r="205" spans="1:21" ht="114.75" hidden="1" x14ac:dyDescent="0.2">
      <c r="A205" s="38"/>
      <c r="B205" s="93"/>
      <c r="C205" s="93"/>
      <c r="D205" s="55" t="s">
        <v>448</v>
      </c>
      <c r="E205" s="50">
        <f>F205</f>
        <v>0</v>
      </c>
      <c r="F205" s="51">
        <f>F204</f>
        <v>0</v>
      </c>
      <c r="G205" s="51"/>
      <c r="H205" s="51"/>
      <c r="I205" s="51"/>
      <c r="J205" s="50"/>
      <c r="K205" s="51"/>
      <c r="L205" s="51"/>
      <c r="M205" s="51"/>
      <c r="N205" s="51"/>
      <c r="O205" s="51"/>
      <c r="P205" s="66">
        <f t="shared" si="33"/>
        <v>0</v>
      </c>
      <c r="Q205" s="19"/>
      <c r="R205" s="19"/>
      <c r="S205" s="19"/>
      <c r="T205" s="19"/>
      <c r="U205" s="19"/>
    </row>
    <row r="206" spans="1:21" s="10" customFormat="1" ht="27.6" customHeight="1" x14ac:dyDescent="0.2">
      <c r="A206" s="37" t="s">
        <v>284</v>
      </c>
      <c r="B206" s="21" t="s">
        <v>52</v>
      </c>
      <c r="C206" s="21" t="s">
        <v>62</v>
      </c>
      <c r="D206" s="41" t="s">
        <v>282</v>
      </c>
      <c r="E206" s="50">
        <f>F206+I206</f>
        <v>6721900</v>
      </c>
      <c r="F206" s="83">
        <f>6596900+80000+45000</f>
        <v>6721900</v>
      </c>
      <c r="G206" s="83">
        <f>4778700+19000</f>
        <v>4797700</v>
      </c>
      <c r="H206" s="83">
        <v>139300</v>
      </c>
      <c r="I206" s="83"/>
      <c r="J206" s="50">
        <f>L206+O206</f>
        <v>754292</v>
      </c>
      <c r="K206" s="83">
        <v>127500</v>
      </c>
      <c r="L206" s="83">
        <v>626792</v>
      </c>
      <c r="M206" s="83">
        <v>37780</v>
      </c>
      <c r="N206" s="83">
        <v>382800</v>
      </c>
      <c r="O206" s="51">
        <f>K206</f>
        <v>127500</v>
      </c>
      <c r="P206" s="66">
        <f t="shared" si="33"/>
        <v>7476192</v>
      </c>
      <c r="Q206" s="8"/>
      <c r="R206" s="8"/>
      <c r="S206" s="8"/>
      <c r="T206" s="8"/>
      <c r="U206" s="8"/>
    </row>
    <row r="207" spans="1:21" s="10" customFormat="1" x14ac:dyDescent="0.2">
      <c r="A207" s="37" t="s">
        <v>285</v>
      </c>
      <c r="B207" s="21" t="s">
        <v>53</v>
      </c>
      <c r="C207" s="21" t="s">
        <v>60</v>
      </c>
      <c r="D207" s="41" t="s">
        <v>426</v>
      </c>
      <c r="E207" s="50">
        <f>F207+I207</f>
        <v>1837900</v>
      </c>
      <c r="F207" s="83">
        <v>1837900</v>
      </c>
      <c r="G207" s="83">
        <v>1268565</v>
      </c>
      <c r="H207" s="83">
        <v>163198</v>
      </c>
      <c r="I207" s="83"/>
      <c r="J207" s="50">
        <f>L207+O207</f>
        <v>0</v>
      </c>
      <c r="K207" s="83"/>
      <c r="L207" s="83"/>
      <c r="M207" s="83"/>
      <c r="N207" s="83"/>
      <c r="O207" s="51">
        <f>K207</f>
        <v>0</v>
      </c>
      <c r="P207" s="66">
        <f t="shared" si="33"/>
        <v>1837900</v>
      </c>
      <c r="Q207" s="8"/>
      <c r="R207" s="8"/>
      <c r="S207" s="8"/>
      <c r="T207" s="8"/>
      <c r="U207" s="8"/>
    </row>
    <row r="208" spans="1:21" hidden="1" x14ac:dyDescent="0.2">
      <c r="A208" s="38" t="s">
        <v>274</v>
      </c>
      <c r="B208" s="46" t="s">
        <v>273</v>
      </c>
      <c r="C208" s="46"/>
      <c r="D208" s="73" t="s">
        <v>13</v>
      </c>
      <c r="E208" s="50">
        <f t="shared" ref="E208:E224" si="36">F208+I208</f>
        <v>0</v>
      </c>
      <c r="F208" s="51"/>
      <c r="G208" s="51"/>
      <c r="H208" s="51"/>
      <c r="I208" s="51"/>
      <c r="J208" s="50">
        <f t="shared" ref="J208:J224" si="37">L208+O208</f>
        <v>0</v>
      </c>
      <c r="K208" s="51"/>
      <c r="L208" s="51"/>
      <c r="M208" s="51"/>
      <c r="N208" s="51"/>
      <c r="O208" s="51">
        <f>SUM(O209:O210)</f>
        <v>0</v>
      </c>
      <c r="P208" s="66">
        <f t="shared" si="33"/>
        <v>0</v>
      </c>
      <c r="Q208" s="19"/>
      <c r="R208" s="19"/>
      <c r="S208" s="19"/>
      <c r="T208" s="19"/>
      <c r="U208" s="19"/>
    </row>
    <row r="209" spans="1:21" s="8" customFormat="1" ht="25.5" x14ac:dyDescent="0.2">
      <c r="A209" s="37" t="s">
        <v>277</v>
      </c>
      <c r="B209" s="95" t="s">
        <v>276</v>
      </c>
      <c r="C209" s="95" t="s">
        <v>1</v>
      </c>
      <c r="D209" s="78" t="s">
        <v>275</v>
      </c>
      <c r="E209" s="50">
        <f t="shared" si="36"/>
        <v>2308100</v>
      </c>
      <c r="F209" s="83">
        <f>2353100-45000</f>
        <v>2308100</v>
      </c>
      <c r="G209" s="161">
        <f>1746700-32000</f>
        <v>1714700</v>
      </c>
      <c r="H209" s="83">
        <v>99100</v>
      </c>
      <c r="I209" s="83"/>
      <c r="J209" s="50">
        <f t="shared" si="37"/>
        <v>0</v>
      </c>
      <c r="K209" s="83"/>
      <c r="L209" s="83"/>
      <c r="M209" s="83"/>
      <c r="N209" s="83"/>
      <c r="O209" s="51">
        <f>K209</f>
        <v>0</v>
      </c>
      <c r="P209" s="66">
        <f t="shared" si="33"/>
        <v>2308100</v>
      </c>
    </row>
    <row r="210" spans="1:21" s="8" customFormat="1" hidden="1" x14ac:dyDescent="0.2">
      <c r="A210" s="37" t="s">
        <v>406</v>
      </c>
      <c r="B210" s="95" t="s">
        <v>405</v>
      </c>
      <c r="C210" s="95" t="s">
        <v>1</v>
      </c>
      <c r="D210" s="78" t="s">
        <v>407</v>
      </c>
      <c r="E210" s="50">
        <f t="shared" si="36"/>
        <v>0</v>
      </c>
      <c r="F210" s="83"/>
      <c r="G210" s="83"/>
      <c r="H210" s="83"/>
      <c r="I210" s="83"/>
      <c r="J210" s="50">
        <f t="shared" si="37"/>
        <v>0</v>
      </c>
      <c r="K210" s="83"/>
      <c r="L210" s="83"/>
      <c r="M210" s="83"/>
      <c r="N210" s="83"/>
      <c r="O210" s="83"/>
      <c r="P210" s="66">
        <f t="shared" si="33"/>
        <v>0</v>
      </c>
    </row>
    <row r="211" spans="1:21" s="19" customFormat="1" hidden="1" x14ac:dyDescent="0.2">
      <c r="A211" s="38" t="s">
        <v>278</v>
      </c>
      <c r="B211" s="93" t="s">
        <v>154</v>
      </c>
      <c r="C211" s="93"/>
      <c r="D211" s="96" t="s">
        <v>148</v>
      </c>
      <c r="E211" s="50">
        <f t="shared" si="36"/>
        <v>465000</v>
      </c>
      <c r="F211" s="51">
        <f>F212</f>
        <v>465000</v>
      </c>
      <c r="G211" s="51">
        <f>G212</f>
        <v>0</v>
      </c>
      <c r="H211" s="51">
        <f>H212</f>
        <v>0</v>
      </c>
      <c r="I211" s="51">
        <f>I212</f>
        <v>0</v>
      </c>
      <c r="J211" s="50">
        <f t="shared" si="37"/>
        <v>0</v>
      </c>
      <c r="K211" s="51">
        <f>K212</f>
        <v>0</v>
      </c>
      <c r="L211" s="51">
        <f>L212</f>
        <v>0</v>
      </c>
      <c r="M211" s="51">
        <f>M212</f>
        <v>0</v>
      </c>
      <c r="N211" s="51">
        <f>N212</f>
        <v>0</v>
      </c>
      <c r="O211" s="51">
        <f>O212</f>
        <v>0</v>
      </c>
      <c r="P211" s="66">
        <f t="shared" si="33"/>
        <v>465000</v>
      </c>
    </row>
    <row r="212" spans="1:21" s="8" customFormat="1" ht="15.75" x14ac:dyDescent="0.25">
      <c r="A212" s="37" t="s">
        <v>280</v>
      </c>
      <c r="B212" s="95" t="s">
        <v>279</v>
      </c>
      <c r="C212" s="95" t="s">
        <v>1</v>
      </c>
      <c r="D212" s="97" t="s">
        <v>141</v>
      </c>
      <c r="E212" s="47">
        <f t="shared" si="36"/>
        <v>465000</v>
      </c>
      <c r="F212" s="83">
        <v>465000</v>
      </c>
      <c r="G212" s="83"/>
      <c r="H212" s="83"/>
      <c r="I212" s="83"/>
      <c r="J212" s="47">
        <f>L212+O212</f>
        <v>0</v>
      </c>
      <c r="K212" s="83"/>
      <c r="L212" s="83"/>
      <c r="M212" s="83"/>
      <c r="N212" s="83"/>
      <c r="O212" s="83"/>
      <c r="P212" s="80">
        <f t="shared" si="33"/>
        <v>465000</v>
      </c>
    </row>
    <row r="213" spans="1:21" hidden="1" x14ac:dyDescent="0.2">
      <c r="A213" s="38">
        <v>1513500</v>
      </c>
      <c r="B213" s="46" t="s">
        <v>24</v>
      </c>
      <c r="C213" s="46" t="s">
        <v>1</v>
      </c>
      <c r="D213" s="55" t="s">
        <v>135</v>
      </c>
      <c r="E213" s="50">
        <f t="shared" si="36"/>
        <v>0</v>
      </c>
      <c r="F213" s="51"/>
      <c r="G213" s="51"/>
      <c r="H213" s="51"/>
      <c r="I213" s="51"/>
      <c r="J213" s="50">
        <f t="shared" si="37"/>
        <v>0</v>
      </c>
      <c r="K213" s="51"/>
      <c r="L213" s="51"/>
      <c r="M213" s="51"/>
      <c r="N213" s="51"/>
      <c r="O213" s="51"/>
      <c r="P213" s="66">
        <f t="shared" si="33"/>
        <v>0</v>
      </c>
      <c r="Q213" s="19"/>
      <c r="R213" s="19"/>
      <c r="S213" s="19"/>
      <c r="T213" s="19"/>
      <c r="U213" s="19"/>
    </row>
    <row r="214" spans="1:21" ht="38.25" x14ac:dyDescent="0.2">
      <c r="A214" s="38" t="s">
        <v>281</v>
      </c>
      <c r="B214" s="93" t="s">
        <v>32</v>
      </c>
      <c r="C214" s="93" t="s">
        <v>1</v>
      </c>
      <c r="D214" s="94" t="s">
        <v>90</v>
      </c>
      <c r="E214" s="50">
        <f t="shared" si="36"/>
        <v>1000000</v>
      </c>
      <c r="F214" s="51">
        <v>1000000</v>
      </c>
      <c r="G214" s="51"/>
      <c r="H214" s="51"/>
      <c r="I214" s="51"/>
      <c r="J214" s="50">
        <f t="shared" si="37"/>
        <v>0</v>
      </c>
      <c r="K214" s="51"/>
      <c r="L214" s="51"/>
      <c r="M214" s="51"/>
      <c r="N214" s="51"/>
      <c r="O214" s="51"/>
      <c r="P214" s="66">
        <f t="shared" si="33"/>
        <v>1000000</v>
      </c>
      <c r="Q214" s="19"/>
      <c r="R214" s="19"/>
      <c r="S214" s="19"/>
      <c r="T214" s="19"/>
      <c r="U214" s="19"/>
    </row>
    <row r="215" spans="1:21" s="10" customFormat="1" hidden="1" x14ac:dyDescent="0.2">
      <c r="A215" s="37"/>
      <c r="B215" s="95"/>
      <c r="C215" s="95"/>
      <c r="D215" s="90" t="s">
        <v>510</v>
      </c>
      <c r="E215" s="47"/>
      <c r="F215" s="83"/>
      <c r="G215" s="83"/>
      <c r="H215" s="83"/>
      <c r="I215" s="83"/>
      <c r="J215" s="47"/>
      <c r="K215" s="83"/>
      <c r="L215" s="83"/>
      <c r="M215" s="83"/>
      <c r="N215" s="83"/>
      <c r="O215" s="83"/>
      <c r="P215" s="66">
        <f t="shared" si="33"/>
        <v>0</v>
      </c>
      <c r="Q215" s="8"/>
      <c r="R215" s="8"/>
      <c r="S215" s="8"/>
      <c r="T215" s="8"/>
      <c r="U215" s="8"/>
    </row>
    <row r="216" spans="1:21" ht="43.5" customHeight="1" x14ac:dyDescent="0.2">
      <c r="A216" s="38" t="s">
        <v>286</v>
      </c>
      <c r="B216" s="46" t="s">
        <v>51</v>
      </c>
      <c r="C216" s="46" t="s">
        <v>60</v>
      </c>
      <c r="D216" s="55" t="s">
        <v>427</v>
      </c>
      <c r="E216" s="50">
        <f t="shared" si="36"/>
        <v>1640000</v>
      </c>
      <c r="F216" s="51">
        <v>1640000</v>
      </c>
      <c r="G216" s="51"/>
      <c r="H216" s="51">
        <f t="shared" ref="H216:O216" si="38">SUM(H217)</f>
        <v>0</v>
      </c>
      <c r="I216" s="51">
        <f t="shared" si="38"/>
        <v>0</v>
      </c>
      <c r="J216" s="50">
        <f t="shared" si="37"/>
        <v>0</v>
      </c>
      <c r="K216" s="51">
        <f>SUM(K217)</f>
        <v>0</v>
      </c>
      <c r="L216" s="51">
        <f t="shared" si="38"/>
        <v>0</v>
      </c>
      <c r="M216" s="51">
        <f t="shared" si="38"/>
        <v>0</v>
      </c>
      <c r="N216" s="51">
        <f t="shared" si="38"/>
        <v>0</v>
      </c>
      <c r="O216" s="51">
        <f t="shared" si="38"/>
        <v>0</v>
      </c>
      <c r="P216" s="66">
        <f t="shared" si="33"/>
        <v>1640000</v>
      </c>
      <c r="Q216" s="19"/>
      <c r="R216" s="19"/>
      <c r="S216" s="19"/>
      <c r="T216" s="19"/>
      <c r="U216" s="19"/>
    </row>
    <row r="217" spans="1:21" s="10" customFormat="1" ht="25.5" hidden="1" customHeight="1" x14ac:dyDescent="0.2">
      <c r="A217" s="37" t="s">
        <v>428</v>
      </c>
      <c r="B217" s="21" t="s">
        <v>287</v>
      </c>
      <c r="C217" s="21" t="s">
        <v>60</v>
      </c>
      <c r="D217" s="41" t="s">
        <v>282</v>
      </c>
      <c r="E217" s="50">
        <f t="shared" si="36"/>
        <v>0</v>
      </c>
      <c r="F217" s="83"/>
      <c r="G217" s="83"/>
      <c r="H217" s="83"/>
      <c r="I217" s="83"/>
      <c r="J217" s="50">
        <f t="shared" si="37"/>
        <v>0</v>
      </c>
      <c r="K217" s="83"/>
      <c r="L217" s="83"/>
      <c r="M217" s="83"/>
      <c r="N217" s="83"/>
      <c r="O217" s="83"/>
      <c r="P217" s="66">
        <f t="shared" si="33"/>
        <v>0</v>
      </c>
      <c r="Q217" s="8"/>
      <c r="R217" s="8"/>
      <c r="S217" s="8"/>
      <c r="T217" s="8"/>
      <c r="U217" s="8"/>
    </row>
    <row r="218" spans="1:21" s="19" customFormat="1" hidden="1" x14ac:dyDescent="0.2">
      <c r="A218" s="38" t="s">
        <v>429</v>
      </c>
      <c r="B218" s="46" t="s">
        <v>430</v>
      </c>
      <c r="C218" s="46"/>
      <c r="D218" s="55" t="s">
        <v>17</v>
      </c>
      <c r="E218" s="50">
        <f>E219</f>
        <v>600000</v>
      </c>
      <c r="F218" s="50"/>
      <c r="G218" s="50"/>
      <c r="H218" s="50">
        <f t="shared" ref="H218:O218" si="39">H219</f>
        <v>0</v>
      </c>
      <c r="I218" s="50">
        <f t="shared" si="39"/>
        <v>0</v>
      </c>
      <c r="J218" s="50">
        <f t="shared" si="39"/>
        <v>0</v>
      </c>
      <c r="K218" s="50">
        <f>K219</f>
        <v>0</v>
      </c>
      <c r="L218" s="50">
        <f t="shared" si="39"/>
        <v>0</v>
      </c>
      <c r="M218" s="50">
        <f t="shared" si="39"/>
        <v>0</v>
      </c>
      <c r="N218" s="50">
        <f t="shared" si="39"/>
        <v>0</v>
      </c>
      <c r="O218" s="50">
        <f t="shared" si="39"/>
        <v>0</v>
      </c>
      <c r="P218" s="66">
        <f t="shared" si="33"/>
        <v>600000</v>
      </c>
    </row>
    <row r="219" spans="1:21" s="10" customFormat="1" ht="25.5" x14ac:dyDescent="0.2">
      <c r="A219" s="37" t="s">
        <v>431</v>
      </c>
      <c r="B219" s="21" t="s">
        <v>432</v>
      </c>
      <c r="C219" s="21" t="s">
        <v>123</v>
      </c>
      <c r="D219" s="98" t="s">
        <v>455</v>
      </c>
      <c r="E219" s="50">
        <f>F219+I219</f>
        <v>600000</v>
      </c>
      <c r="F219" s="83">
        <v>600000</v>
      </c>
      <c r="G219" s="83"/>
      <c r="H219" s="83"/>
      <c r="I219" s="83"/>
      <c r="J219" s="50">
        <f>L219+O219</f>
        <v>0</v>
      </c>
      <c r="K219" s="83"/>
      <c r="L219" s="83"/>
      <c r="M219" s="83"/>
      <c r="N219" s="83"/>
      <c r="O219" s="83">
        <f>K219</f>
        <v>0</v>
      </c>
      <c r="P219" s="66">
        <f t="shared" si="33"/>
        <v>600000</v>
      </c>
      <c r="Q219" s="8"/>
      <c r="R219" s="8"/>
      <c r="S219" s="8"/>
      <c r="T219" s="8"/>
      <c r="U219" s="8"/>
    </row>
    <row r="220" spans="1:21" x14ac:dyDescent="0.2">
      <c r="A220" s="38" t="s">
        <v>433</v>
      </c>
      <c r="B220" s="72" t="s">
        <v>434</v>
      </c>
      <c r="C220" s="72" t="s">
        <v>15</v>
      </c>
      <c r="D220" s="57" t="s">
        <v>16</v>
      </c>
      <c r="E220" s="50">
        <f t="shared" si="36"/>
        <v>380000</v>
      </c>
      <c r="F220" s="51">
        <v>380000</v>
      </c>
      <c r="G220" s="51">
        <v>116000</v>
      </c>
      <c r="H220" s="51"/>
      <c r="I220" s="51"/>
      <c r="J220" s="50">
        <f t="shared" si="37"/>
        <v>0</v>
      </c>
      <c r="K220" s="51"/>
      <c r="L220" s="51"/>
      <c r="M220" s="51"/>
      <c r="N220" s="51"/>
      <c r="O220" s="51"/>
      <c r="P220" s="66">
        <f t="shared" si="33"/>
        <v>380000</v>
      </c>
      <c r="Q220" s="19"/>
      <c r="R220" s="19"/>
      <c r="S220" s="19"/>
      <c r="T220" s="19"/>
      <c r="U220" s="19"/>
    </row>
    <row r="221" spans="1:21" hidden="1" x14ac:dyDescent="0.2">
      <c r="A221" s="38">
        <v>1518600</v>
      </c>
      <c r="B221" s="74" t="s">
        <v>29</v>
      </c>
      <c r="C221" s="46" t="s">
        <v>134</v>
      </c>
      <c r="D221" s="26" t="s">
        <v>135</v>
      </c>
      <c r="E221" s="50">
        <f t="shared" si="36"/>
        <v>0</v>
      </c>
      <c r="F221" s="51"/>
      <c r="G221" s="51"/>
      <c r="H221" s="51"/>
      <c r="I221" s="51"/>
      <c r="J221" s="50">
        <f t="shared" si="37"/>
        <v>0</v>
      </c>
      <c r="K221" s="51"/>
      <c r="L221" s="51"/>
      <c r="M221" s="51"/>
      <c r="N221" s="51"/>
      <c r="O221" s="51"/>
      <c r="P221" s="66">
        <f t="shared" si="33"/>
        <v>0</v>
      </c>
      <c r="Q221" s="19"/>
      <c r="R221" s="19"/>
      <c r="S221" s="19"/>
      <c r="T221" s="19"/>
      <c r="U221" s="19"/>
    </row>
    <row r="222" spans="1:21" ht="25.5" hidden="1" x14ac:dyDescent="0.2">
      <c r="A222" s="38" t="s">
        <v>548</v>
      </c>
      <c r="B222" s="74" t="s">
        <v>549</v>
      </c>
      <c r="C222" s="46"/>
      <c r="D222" s="26" t="s">
        <v>552</v>
      </c>
      <c r="E222" s="50">
        <f t="shared" si="36"/>
        <v>0</v>
      </c>
      <c r="F222" s="51"/>
      <c r="G222" s="51"/>
      <c r="H222" s="51"/>
      <c r="I222" s="51"/>
      <c r="J222" s="50">
        <f t="shared" si="37"/>
        <v>0</v>
      </c>
      <c r="K222" s="51">
        <f>K223</f>
        <v>0</v>
      </c>
      <c r="L222" s="51"/>
      <c r="M222" s="51"/>
      <c r="N222" s="51"/>
      <c r="O222" s="51">
        <f>K222</f>
        <v>0</v>
      </c>
      <c r="P222" s="66">
        <f t="shared" si="33"/>
        <v>0</v>
      </c>
      <c r="Q222" s="19"/>
      <c r="R222" s="19"/>
      <c r="S222" s="19"/>
      <c r="T222" s="19"/>
      <c r="U222" s="19"/>
    </row>
    <row r="223" spans="1:21" s="10" customFormat="1" ht="102" hidden="1" x14ac:dyDescent="0.2">
      <c r="A223" s="37" t="s">
        <v>550</v>
      </c>
      <c r="B223" s="48" t="s">
        <v>551</v>
      </c>
      <c r="C223" s="21" t="s">
        <v>57</v>
      </c>
      <c r="D223" s="98" t="s">
        <v>553</v>
      </c>
      <c r="E223" s="47">
        <f t="shared" si="36"/>
        <v>0</v>
      </c>
      <c r="F223" s="83"/>
      <c r="G223" s="83"/>
      <c r="H223" s="83"/>
      <c r="I223" s="83"/>
      <c r="J223" s="47">
        <f t="shared" si="37"/>
        <v>0</v>
      </c>
      <c r="K223" s="83">
        <f>K224</f>
        <v>0</v>
      </c>
      <c r="L223" s="83"/>
      <c r="M223" s="83"/>
      <c r="N223" s="83"/>
      <c r="O223" s="51">
        <f>K223</f>
        <v>0</v>
      </c>
      <c r="P223" s="66">
        <f t="shared" si="33"/>
        <v>0</v>
      </c>
      <c r="Q223" s="8"/>
      <c r="R223" s="8"/>
      <c r="S223" s="8"/>
      <c r="T223" s="8"/>
      <c r="U223" s="8"/>
    </row>
    <row r="224" spans="1:21" s="10" customFormat="1" ht="117" hidden="1" customHeight="1" x14ac:dyDescent="0.2">
      <c r="A224" s="37"/>
      <c r="B224" s="48"/>
      <c r="C224" s="21"/>
      <c r="D224" s="98" t="s">
        <v>554</v>
      </c>
      <c r="E224" s="47">
        <f t="shared" si="36"/>
        <v>0</v>
      </c>
      <c r="F224" s="83"/>
      <c r="G224" s="83"/>
      <c r="H224" s="83"/>
      <c r="I224" s="83"/>
      <c r="J224" s="47">
        <f t="shared" si="37"/>
        <v>0</v>
      </c>
      <c r="K224" s="83"/>
      <c r="L224" s="83"/>
      <c r="M224" s="83"/>
      <c r="N224" s="83"/>
      <c r="O224" s="51">
        <f>K224</f>
        <v>0</v>
      </c>
      <c r="P224" s="66">
        <f t="shared" si="33"/>
        <v>0</v>
      </c>
      <c r="Q224" s="8"/>
      <c r="R224" s="8"/>
      <c r="S224" s="8"/>
      <c r="T224" s="8"/>
      <c r="U224" s="8"/>
    </row>
    <row r="225" spans="1:21" s="19" customFormat="1" ht="89.25" hidden="1" x14ac:dyDescent="0.2">
      <c r="A225" s="38" t="s">
        <v>476</v>
      </c>
      <c r="B225" s="99" t="s">
        <v>460</v>
      </c>
      <c r="C225" s="93" t="s">
        <v>1</v>
      </c>
      <c r="D225" s="26" t="s">
        <v>583</v>
      </c>
      <c r="E225" s="50">
        <f>F225+I225</f>
        <v>0</v>
      </c>
      <c r="F225" s="51"/>
      <c r="G225" s="51"/>
      <c r="H225" s="51"/>
      <c r="I225" s="51"/>
      <c r="J225" s="50"/>
      <c r="K225" s="51"/>
      <c r="L225" s="51"/>
      <c r="M225" s="51"/>
      <c r="N225" s="51"/>
      <c r="O225" s="51"/>
      <c r="P225" s="66">
        <f t="shared" si="33"/>
        <v>0</v>
      </c>
    </row>
    <row r="226" spans="1:21" s="19" customFormat="1" ht="105.6" hidden="1" customHeight="1" x14ac:dyDescent="0.2">
      <c r="A226" s="38"/>
      <c r="B226" s="31"/>
      <c r="C226" s="72"/>
      <c r="D226" s="55" t="s">
        <v>586</v>
      </c>
      <c r="E226" s="50">
        <f>F226+I226</f>
        <v>0</v>
      </c>
      <c r="F226" s="51">
        <f>F225</f>
        <v>0</v>
      </c>
      <c r="G226" s="51"/>
      <c r="H226" s="51"/>
      <c r="I226" s="51"/>
      <c r="J226" s="50"/>
      <c r="K226" s="51"/>
      <c r="L226" s="51"/>
      <c r="M226" s="51"/>
      <c r="N226" s="51"/>
      <c r="O226" s="51"/>
      <c r="P226" s="66">
        <f t="shared" si="33"/>
        <v>0</v>
      </c>
    </row>
    <row r="227" spans="1:21" s="19" customFormat="1" hidden="1" x14ac:dyDescent="0.2">
      <c r="A227" s="38" t="s">
        <v>438</v>
      </c>
      <c r="B227" s="46" t="s">
        <v>437</v>
      </c>
      <c r="C227" s="46"/>
      <c r="D227" s="27" t="s">
        <v>272</v>
      </c>
      <c r="E227" s="50">
        <f>F227+I227</f>
        <v>7196570</v>
      </c>
      <c r="F227" s="51">
        <f>F228</f>
        <v>7196570</v>
      </c>
      <c r="G227" s="51"/>
      <c r="H227" s="51"/>
      <c r="I227" s="51"/>
      <c r="J227" s="50">
        <f t="shared" ref="J227:J233" si="40">L227+O227</f>
        <v>362000</v>
      </c>
      <c r="K227" s="51">
        <f>K228</f>
        <v>362000</v>
      </c>
      <c r="L227" s="51"/>
      <c r="M227" s="51"/>
      <c r="N227" s="51"/>
      <c r="O227" s="51">
        <f>K227</f>
        <v>362000</v>
      </c>
      <c r="P227" s="66">
        <f t="shared" si="33"/>
        <v>7558570</v>
      </c>
    </row>
    <row r="228" spans="1:21" s="8" customFormat="1" x14ac:dyDescent="0.2">
      <c r="A228" s="37" t="s">
        <v>439</v>
      </c>
      <c r="B228" s="21" t="s">
        <v>436</v>
      </c>
      <c r="C228" s="21" t="s">
        <v>122</v>
      </c>
      <c r="D228" s="68" t="s">
        <v>435</v>
      </c>
      <c r="E228" s="47">
        <f>F228+I228</f>
        <v>7196570</v>
      </c>
      <c r="F228" s="83">
        <v>7196570</v>
      </c>
      <c r="G228" s="83"/>
      <c r="H228" s="83"/>
      <c r="I228" s="83"/>
      <c r="J228" s="47">
        <f t="shared" si="40"/>
        <v>362000</v>
      </c>
      <c r="K228" s="83">
        <v>362000</v>
      </c>
      <c r="L228" s="83"/>
      <c r="M228" s="83"/>
      <c r="N228" s="83"/>
      <c r="O228" s="83">
        <f>K228</f>
        <v>362000</v>
      </c>
      <c r="P228" s="80">
        <f t="shared" si="33"/>
        <v>7558570</v>
      </c>
    </row>
    <row r="229" spans="1:21" s="8" customFormat="1" x14ac:dyDescent="0.2">
      <c r="A229" s="37"/>
      <c r="B229" s="21"/>
      <c r="C229" s="21"/>
      <c r="D229" s="68" t="s">
        <v>510</v>
      </c>
      <c r="E229" s="47">
        <f>F229+I229</f>
        <v>43070</v>
      </c>
      <c r="F229" s="83">
        <v>43070</v>
      </c>
      <c r="G229" s="83"/>
      <c r="H229" s="83"/>
      <c r="I229" s="83"/>
      <c r="J229" s="47">
        <f t="shared" si="40"/>
        <v>0</v>
      </c>
      <c r="K229" s="83"/>
      <c r="L229" s="83"/>
      <c r="M229" s="83"/>
      <c r="N229" s="83"/>
      <c r="O229" s="83"/>
      <c r="P229" s="80">
        <f t="shared" si="33"/>
        <v>43070</v>
      </c>
    </row>
    <row r="230" spans="1:21" s="19" customFormat="1" hidden="1" x14ac:dyDescent="0.2">
      <c r="A230" s="38" t="s">
        <v>487</v>
      </c>
      <c r="B230" s="46" t="s">
        <v>188</v>
      </c>
      <c r="C230" s="46"/>
      <c r="D230" s="32" t="s">
        <v>190</v>
      </c>
      <c r="E230" s="50">
        <f>E233</f>
        <v>70000</v>
      </c>
      <c r="F230" s="50"/>
      <c r="G230" s="50">
        <f t="shared" ref="G230:O230" si="41">G233</f>
        <v>0</v>
      </c>
      <c r="H230" s="50">
        <f t="shared" si="41"/>
        <v>0</v>
      </c>
      <c r="I230" s="50">
        <f t="shared" si="41"/>
        <v>0</v>
      </c>
      <c r="J230" s="47">
        <f t="shared" si="40"/>
        <v>0</v>
      </c>
      <c r="K230" s="50">
        <f>K233</f>
        <v>0</v>
      </c>
      <c r="L230" s="50">
        <f t="shared" si="41"/>
        <v>0</v>
      </c>
      <c r="M230" s="50">
        <f t="shared" si="41"/>
        <v>0</v>
      </c>
      <c r="N230" s="50">
        <f t="shared" si="41"/>
        <v>0</v>
      </c>
      <c r="O230" s="50">
        <f t="shared" si="41"/>
        <v>0</v>
      </c>
      <c r="P230" s="80">
        <f t="shared" si="33"/>
        <v>70000</v>
      </c>
    </row>
    <row r="231" spans="1:21" s="19" customFormat="1" ht="60" x14ac:dyDescent="0.25">
      <c r="A231" s="38" t="s">
        <v>647</v>
      </c>
      <c r="B231" s="46" t="s">
        <v>556</v>
      </c>
      <c r="C231" s="46" t="s">
        <v>124</v>
      </c>
      <c r="D231" s="160" t="s">
        <v>653</v>
      </c>
      <c r="E231" s="50"/>
      <c r="F231" s="50"/>
      <c r="G231" s="50"/>
      <c r="H231" s="50"/>
      <c r="I231" s="50"/>
      <c r="J231" s="47">
        <f t="shared" si="40"/>
        <v>486351</v>
      </c>
      <c r="K231" s="50">
        <v>486351</v>
      </c>
      <c r="L231" s="50"/>
      <c r="M231" s="50"/>
      <c r="N231" s="50"/>
      <c r="O231" s="50">
        <f>K231</f>
        <v>486351</v>
      </c>
      <c r="P231" s="80">
        <f t="shared" si="33"/>
        <v>486351</v>
      </c>
    </row>
    <row r="232" spans="1:21" s="8" customFormat="1" ht="63.75" x14ac:dyDescent="0.2">
      <c r="A232" s="37"/>
      <c r="B232" s="21"/>
      <c r="C232" s="21"/>
      <c r="D232" s="28" t="s">
        <v>652</v>
      </c>
      <c r="E232" s="47"/>
      <c r="F232" s="47"/>
      <c r="G232" s="47"/>
      <c r="H232" s="47"/>
      <c r="I232" s="47"/>
      <c r="J232" s="47">
        <f t="shared" si="40"/>
        <v>486351</v>
      </c>
      <c r="K232" s="47">
        <f>K231</f>
        <v>486351</v>
      </c>
      <c r="L232" s="47"/>
      <c r="M232" s="47"/>
      <c r="N232" s="47"/>
      <c r="O232" s="47">
        <f>O231</f>
        <v>486351</v>
      </c>
      <c r="P232" s="80">
        <f t="shared" si="33"/>
        <v>486351</v>
      </c>
    </row>
    <row r="233" spans="1:21" s="19" customFormat="1" x14ac:dyDescent="0.2">
      <c r="A233" s="38" t="s">
        <v>488</v>
      </c>
      <c r="B233" s="46" t="s">
        <v>192</v>
      </c>
      <c r="C233" s="46" t="s">
        <v>127</v>
      </c>
      <c r="D233" s="32" t="s">
        <v>193</v>
      </c>
      <c r="E233" s="50">
        <f>F233+I233</f>
        <v>70000</v>
      </c>
      <c r="F233" s="51">
        <v>70000</v>
      </c>
      <c r="G233" s="51"/>
      <c r="H233" s="51"/>
      <c r="I233" s="51"/>
      <c r="J233" s="50">
        <f t="shared" si="40"/>
        <v>0</v>
      </c>
      <c r="K233" s="51"/>
      <c r="L233" s="51"/>
      <c r="M233" s="51"/>
      <c r="N233" s="51"/>
      <c r="O233" s="51"/>
      <c r="P233" s="66">
        <f t="shared" si="33"/>
        <v>70000</v>
      </c>
    </row>
    <row r="234" spans="1:21" x14ac:dyDescent="0.2">
      <c r="A234" s="39" t="s">
        <v>176</v>
      </c>
      <c r="B234" s="60"/>
      <c r="C234" s="61"/>
      <c r="D234" s="148" t="s">
        <v>65</v>
      </c>
      <c r="E234" s="77">
        <f>E235</f>
        <v>3167800</v>
      </c>
      <c r="F234" s="77">
        <f t="shared" ref="F234:O234" si="42">F235</f>
        <v>3167800</v>
      </c>
      <c r="G234" s="77">
        <f t="shared" si="42"/>
        <v>2332800</v>
      </c>
      <c r="H234" s="77">
        <f t="shared" si="42"/>
        <v>44800</v>
      </c>
      <c r="I234" s="77">
        <f t="shared" si="42"/>
        <v>0</v>
      </c>
      <c r="J234" s="77">
        <f t="shared" si="42"/>
        <v>0</v>
      </c>
      <c r="K234" s="77">
        <f>K235</f>
        <v>0</v>
      </c>
      <c r="L234" s="77">
        <f t="shared" si="42"/>
        <v>0</v>
      </c>
      <c r="M234" s="77">
        <f t="shared" si="42"/>
        <v>0</v>
      </c>
      <c r="N234" s="77">
        <f t="shared" si="42"/>
        <v>0</v>
      </c>
      <c r="O234" s="77">
        <f t="shared" si="42"/>
        <v>0</v>
      </c>
      <c r="P234" s="66">
        <f t="shared" si="33"/>
        <v>3167800</v>
      </c>
      <c r="Q234" s="19"/>
      <c r="R234" s="129"/>
      <c r="S234" s="19"/>
      <c r="T234" s="19"/>
      <c r="U234" s="19"/>
    </row>
    <row r="235" spans="1:21" x14ac:dyDescent="0.2">
      <c r="A235" s="38" t="s">
        <v>288</v>
      </c>
      <c r="B235" s="74"/>
      <c r="C235" s="61"/>
      <c r="D235" s="22" t="s">
        <v>65</v>
      </c>
      <c r="E235" s="77">
        <f>E236+E238+E237</f>
        <v>3167800</v>
      </c>
      <c r="F235" s="77">
        <f>F236+F238+F237+F239</f>
        <v>3167800</v>
      </c>
      <c r="G235" s="77">
        <f t="shared" ref="G235:O235" si="43">G236+G238+G237</f>
        <v>2332800</v>
      </c>
      <c r="H235" s="77">
        <f t="shared" si="43"/>
        <v>44800</v>
      </c>
      <c r="I235" s="77">
        <f t="shared" si="43"/>
        <v>0</v>
      </c>
      <c r="J235" s="77">
        <f t="shared" si="43"/>
        <v>0</v>
      </c>
      <c r="K235" s="77">
        <f>K236+K238+K237</f>
        <v>0</v>
      </c>
      <c r="L235" s="77">
        <f t="shared" si="43"/>
        <v>0</v>
      </c>
      <c r="M235" s="77">
        <f t="shared" si="43"/>
        <v>0</v>
      </c>
      <c r="N235" s="77">
        <f t="shared" si="43"/>
        <v>0</v>
      </c>
      <c r="O235" s="77">
        <f t="shared" si="43"/>
        <v>0</v>
      </c>
      <c r="P235" s="77">
        <f>P236+P238+P237</f>
        <v>3167800</v>
      </c>
      <c r="Q235" s="19"/>
      <c r="R235" s="19"/>
      <c r="S235" s="19"/>
      <c r="T235" s="19"/>
      <c r="U235" s="19"/>
    </row>
    <row r="236" spans="1:21" s="19" customFormat="1" ht="25.5" x14ac:dyDescent="0.2">
      <c r="A236" s="38" t="s">
        <v>289</v>
      </c>
      <c r="B236" s="25" t="s">
        <v>196</v>
      </c>
      <c r="C236" s="25" t="s">
        <v>121</v>
      </c>
      <c r="D236" s="76" t="s">
        <v>195</v>
      </c>
      <c r="E236" s="50">
        <f>F236+I236</f>
        <v>3061800</v>
      </c>
      <c r="F236" s="51">
        <f>2862600+389200+40000-310000+80000</f>
        <v>3061800</v>
      </c>
      <c r="G236" s="51">
        <f>2215800+319000-250000+48000</f>
        <v>2332800</v>
      </c>
      <c r="H236" s="51">
        <v>44800</v>
      </c>
      <c r="I236" s="51"/>
      <c r="J236" s="50">
        <f>L236+O236</f>
        <v>0</v>
      </c>
      <c r="K236" s="51"/>
      <c r="L236" s="51"/>
      <c r="M236" s="51"/>
      <c r="N236" s="51"/>
      <c r="O236" s="51">
        <f>K236</f>
        <v>0</v>
      </c>
      <c r="P236" s="66">
        <f t="shared" ref="P236:P252" si="44">E236+J236</f>
        <v>3061800</v>
      </c>
    </row>
    <row r="237" spans="1:21" s="19" customFormat="1" ht="38.25" hidden="1" x14ac:dyDescent="0.2">
      <c r="A237" s="38" t="s">
        <v>493</v>
      </c>
      <c r="B237" s="25" t="s">
        <v>57</v>
      </c>
      <c r="C237" s="25" t="s">
        <v>137</v>
      </c>
      <c r="D237" s="76" t="s">
        <v>492</v>
      </c>
      <c r="E237" s="50">
        <f>F237+I237</f>
        <v>0</v>
      </c>
      <c r="F237" s="51"/>
      <c r="G237" s="51"/>
      <c r="H237" s="51"/>
      <c r="I237" s="51"/>
      <c r="J237" s="50">
        <f>L237+O237</f>
        <v>0</v>
      </c>
      <c r="K237" s="51"/>
      <c r="L237" s="51"/>
      <c r="M237" s="51"/>
      <c r="N237" s="51"/>
      <c r="O237" s="51">
        <f>K237</f>
        <v>0</v>
      </c>
      <c r="P237" s="66">
        <f t="shared" si="44"/>
        <v>0</v>
      </c>
    </row>
    <row r="238" spans="1:21" s="19" customFormat="1" ht="15.75" hidden="1" x14ac:dyDescent="0.25">
      <c r="A238" s="38" t="s">
        <v>290</v>
      </c>
      <c r="B238" s="74" t="s">
        <v>169</v>
      </c>
      <c r="C238" s="25"/>
      <c r="D238" s="14" t="s">
        <v>167</v>
      </c>
      <c r="E238" s="50">
        <f>E239</f>
        <v>106000</v>
      </c>
      <c r="F238" s="50"/>
      <c r="G238" s="50"/>
      <c r="H238" s="50"/>
      <c r="I238" s="50">
        <f t="shared" ref="I238:O238" si="45">I239</f>
        <v>0</v>
      </c>
      <c r="J238" s="50">
        <f t="shared" si="45"/>
        <v>0</v>
      </c>
      <c r="K238" s="50">
        <f>K239</f>
        <v>0</v>
      </c>
      <c r="L238" s="50">
        <f t="shared" si="45"/>
        <v>0</v>
      </c>
      <c r="M238" s="50">
        <f t="shared" si="45"/>
        <v>0</v>
      </c>
      <c r="N238" s="50">
        <f t="shared" si="45"/>
        <v>0</v>
      </c>
      <c r="O238" s="50">
        <f t="shared" si="45"/>
        <v>0</v>
      </c>
      <c r="P238" s="66">
        <f t="shared" si="44"/>
        <v>106000</v>
      </c>
    </row>
    <row r="239" spans="1:21" s="8" customFormat="1" ht="15.75" x14ac:dyDescent="0.25">
      <c r="A239" s="37" t="s">
        <v>291</v>
      </c>
      <c r="B239" s="48" t="s">
        <v>170</v>
      </c>
      <c r="C239" s="20" t="s">
        <v>1</v>
      </c>
      <c r="D239" s="15" t="s">
        <v>168</v>
      </c>
      <c r="E239" s="47">
        <f>F239</f>
        <v>106000</v>
      </c>
      <c r="F239" s="83">
        <v>106000</v>
      </c>
      <c r="G239" s="83"/>
      <c r="H239" s="83"/>
      <c r="I239" s="83"/>
      <c r="J239" s="47"/>
      <c r="K239" s="83"/>
      <c r="L239" s="83"/>
      <c r="M239" s="83"/>
      <c r="N239" s="83"/>
      <c r="O239" s="83"/>
      <c r="P239" s="66">
        <f t="shared" si="44"/>
        <v>106000</v>
      </c>
    </row>
    <row r="240" spans="1:21" s="19" customFormat="1" x14ac:dyDescent="0.2">
      <c r="A240" s="39">
        <v>1000000</v>
      </c>
      <c r="B240" s="29"/>
      <c r="C240" s="30"/>
      <c r="D240" s="119" t="s">
        <v>66</v>
      </c>
      <c r="E240" s="100">
        <f>E242</f>
        <v>42741295</v>
      </c>
      <c r="F240" s="100">
        <f t="shared" ref="F240:O240" si="46">F242</f>
        <v>42741295</v>
      </c>
      <c r="G240" s="100">
        <f t="shared" si="46"/>
        <v>27713050</v>
      </c>
      <c r="H240" s="100">
        <f t="shared" si="46"/>
        <v>4010700</v>
      </c>
      <c r="I240" s="100">
        <f t="shared" si="46"/>
        <v>0</v>
      </c>
      <c r="J240" s="100">
        <f t="shared" si="46"/>
        <v>4243005</v>
      </c>
      <c r="K240" s="100">
        <f>K242</f>
        <v>1723005</v>
      </c>
      <c r="L240" s="100">
        <f t="shared" si="46"/>
        <v>2477000</v>
      </c>
      <c r="M240" s="100">
        <f t="shared" si="46"/>
        <v>1130100</v>
      </c>
      <c r="N240" s="100">
        <f t="shared" si="46"/>
        <v>0</v>
      </c>
      <c r="O240" s="100">
        <f t="shared" si="46"/>
        <v>1766005</v>
      </c>
      <c r="P240" s="66">
        <f t="shared" si="44"/>
        <v>46984300</v>
      </c>
      <c r="R240" s="129"/>
    </row>
    <row r="241" spans="1:21" s="19" customFormat="1" hidden="1" x14ac:dyDescent="0.2">
      <c r="A241" s="39"/>
      <c r="B241" s="29"/>
      <c r="C241" s="30"/>
      <c r="D241" s="40" t="s">
        <v>510</v>
      </c>
      <c r="E241" s="100"/>
      <c r="F241" s="100"/>
      <c r="G241" s="100"/>
      <c r="H241" s="100"/>
      <c r="I241" s="100"/>
      <c r="J241" s="83">
        <f>J245</f>
        <v>0</v>
      </c>
      <c r="K241" s="83">
        <f t="shared" ref="K241:P241" si="47">K245</f>
        <v>0</v>
      </c>
      <c r="L241" s="83">
        <f t="shared" si="47"/>
        <v>0</v>
      </c>
      <c r="M241" s="83">
        <f t="shared" si="47"/>
        <v>0</v>
      </c>
      <c r="N241" s="83">
        <f t="shared" si="47"/>
        <v>0</v>
      </c>
      <c r="O241" s="83">
        <f t="shared" si="47"/>
        <v>0</v>
      </c>
      <c r="P241" s="125">
        <f t="shared" si="47"/>
        <v>0</v>
      </c>
    </row>
    <row r="242" spans="1:21" s="19" customFormat="1" x14ac:dyDescent="0.2">
      <c r="A242" s="38" t="s">
        <v>292</v>
      </c>
      <c r="B242" s="31"/>
      <c r="C242" s="30"/>
      <c r="D242" s="78" t="s">
        <v>110</v>
      </c>
      <c r="E242" s="100">
        <f>E243+E244+E246+E248+E249+E251+E252</f>
        <v>42741295</v>
      </c>
      <c r="F242" s="100">
        <f>F243+F244+F246+F248+F249+F251+F252</f>
        <v>42741295</v>
      </c>
      <c r="G242" s="100">
        <f>G243+G244+G246+G248+G249+G251+G252</f>
        <v>27713050</v>
      </c>
      <c r="H242" s="100">
        <f>H243+H244+H246+H248+H249+H251+H252</f>
        <v>4010700</v>
      </c>
      <c r="I242" s="100">
        <f>SUM(I243:I250)</f>
        <v>0</v>
      </c>
      <c r="J242" s="100">
        <f t="shared" ref="J242:O242" si="48">J243+J244+J246+J248+J249+J251+J252</f>
        <v>4243005</v>
      </c>
      <c r="K242" s="100">
        <f t="shared" si="48"/>
        <v>1723005</v>
      </c>
      <c r="L242" s="100">
        <f t="shared" si="48"/>
        <v>2477000</v>
      </c>
      <c r="M242" s="100">
        <f t="shared" si="48"/>
        <v>1130100</v>
      </c>
      <c r="N242" s="100">
        <f t="shared" si="48"/>
        <v>0</v>
      </c>
      <c r="O242" s="100">
        <f t="shared" si="48"/>
        <v>1766005</v>
      </c>
      <c r="P242" s="66">
        <f t="shared" si="44"/>
        <v>46984300</v>
      </c>
    </row>
    <row r="243" spans="1:21" s="19" customFormat="1" ht="25.5" x14ac:dyDescent="0.2">
      <c r="A243" s="38" t="s">
        <v>293</v>
      </c>
      <c r="B243" s="25" t="s">
        <v>196</v>
      </c>
      <c r="C243" s="25" t="s">
        <v>121</v>
      </c>
      <c r="D243" s="76" t="s">
        <v>195</v>
      </c>
      <c r="E243" s="50">
        <f t="shared" ref="E243:E252" si="49">F243+I243</f>
        <v>1160000</v>
      </c>
      <c r="F243" s="51">
        <f>1569000-259000-150000</f>
        <v>1160000</v>
      </c>
      <c r="G243" s="51">
        <f>1196000-212300-130000</f>
        <v>853700</v>
      </c>
      <c r="H243" s="51"/>
      <c r="I243" s="51"/>
      <c r="J243" s="50">
        <f t="shared" ref="J243:J252" si="50">L243+O243</f>
        <v>27000</v>
      </c>
      <c r="K243" s="51">
        <v>27000</v>
      </c>
      <c r="L243" s="51"/>
      <c r="M243" s="51"/>
      <c r="N243" s="51"/>
      <c r="O243" s="51">
        <f t="shared" ref="O243:O252" si="51">K243</f>
        <v>27000</v>
      </c>
      <c r="P243" s="66">
        <f t="shared" si="44"/>
        <v>1187000</v>
      </c>
    </row>
    <row r="244" spans="1:21" x14ac:dyDescent="0.2">
      <c r="A244" s="38" t="s">
        <v>303</v>
      </c>
      <c r="B244" s="72" t="s">
        <v>302</v>
      </c>
      <c r="C244" s="72" t="s">
        <v>139</v>
      </c>
      <c r="D244" s="55" t="s">
        <v>626</v>
      </c>
      <c r="E244" s="50">
        <f>F244+I244</f>
        <v>18613195</v>
      </c>
      <c r="F244" s="51">
        <f>18365400+110000+40000+6795+100000-9000</f>
        <v>18613195</v>
      </c>
      <c r="G244" s="51">
        <f>13802000-80350</f>
        <v>13721650</v>
      </c>
      <c r="H244" s="51">
        <f>1053800+110000+100000</f>
        <v>1263800</v>
      </c>
      <c r="I244" s="51"/>
      <c r="J244" s="50">
        <f>L244+O244</f>
        <v>1735900</v>
      </c>
      <c r="K244" s="51">
        <f>15900</f>
        <v>15900</v>
      </c>
      <c r="L244" s="51">
        <v>1720000</v>
      </c>
      <c r="M244" s="51">
        <v>975500</v>
      </c>
      <c r="N244" s="51"/>
      <c r="O244" s="51">
        <f t="shared" si="51"/>
        <v>15900</v>
      </c>
      <c r="P244" s="66">
        <f t="shared" si="44"/>
        <v>20349095</v>
      </c>
      <c r="Q244" s="19"/>
      <c r="R244" s="19"/>
      <c r="S244" s="19"/>
      <c r="T244" s="19"/>
      <c r="U244" s="19"/>
    </row>
    <row r="245" spans="1:21" s="10" customFormat="1" hidden="1" x14ac:dyDescent="0.2">
      <c r="A245" s="37"/>
      <c r="B245" s="24"/>
      <c r="C245" s="24"/>
      <c r="D245" s="40" t="s">
        <v>510</v>
      </c>
      <c r="E245" s="47"/>
      <c r="F245" s="83"/>
      <c r="G245" s="83"/>
      <c r="H245" s="83"/>
      <c r="I245" s="83"/>
      <c r="J245" s="47">
        <f>L245+O245</f>
        <v>0</v>
      </c>
      <c r="K245" s="83"/>
      <c r="L245" s="83"/>
      <c r="M245" s="83"/>
      <c r="N245" s="83"/>
      <c r="O245" s="83">
        <f>K245</f>
        <v>0</v>
      </c>
      <c r="P245" s="80">
        <f>E245+J245</f>
        <v>0</v>
      </c>
      <c r="Q245" s="8"/>
      <c r="R245" s="8"/>
      <c r="S245" s="8"/>
      <c r="T245" s="8"/>
      <c r="U245" s="8"/>
    </row>
    <row r="246" spans="1:21" x14ac:dyDescent="0.2">
      <c r="A246" s="38" t="s">
        <v>296</v>
      </c>
      <c r="B246" s="72" t="s">
        <v>295</v>
      </c>
      <c r="C246" s="72" t="s">
        <v>67</v>
      </c>
      <c r="D246" s="55" t="s">
        <v>294</v>
      </c>
      <c r="E246" s="50">
        <f t="shared" si="49"/>
        <v>5740100</v>
      </c>
      <c r="F246" s="51">
        <f>5564600+175500</f>
        <v>5740100</v>
      </c>
      <c r="G246" s="51">
        <f>4002700+146200</f>
        <v>4148900</v>
      </c>
      <c r="H246" s="51">
        <v>524700</v>
      </c>
      <c r="I246" s="51"/>
      <c r="J246" s="50">
        <f t="shared" si="50"/>
        <v>155000</v>
      </c>
      <c r="K246" s="51">
        <v>100000</v>
      </c>
      <c r="L246" s="51">
        <v>12000</v>
      </c>
      <c r="M246" s="51"/>
      <c r="N246" s="51"/>
      <c r="O246" s="83">
        <f>K246+43000</f>
        <v>143000</v>
      </c>
      <c r="P246" s="66">
        <f t="shared" si="44"/>
        <v>5895100</v>
      </c>
      <c r="Q246" s="19"/>
      <c r="R246" s="19"/>
      <c r="S246" s="19"/>
      <c r="T246" s="19"/>
      <c r="U246" s="19"/>
    </row>
    <row r="247" spans="1:21" hidden="1" x14ac:dyDescent="0.2">
      <c r="A247" s="38"/>
      <c r="B247" s="72"/>
      <c r="C247" s="72"/>
      <c r="E247" s="50"/>
      <c r="F247" s="51"/>
      <c r="G247" s="51"/>
      <c r="H247" s="51"/>
      <c r="I247" s="51"/>
      <c r="J247" s="50"/>
      <c r="K247" s="51"/>
      <c r="L247" s="51"/>
      <c r="M247" s="51"/>
      <c r="N247" s="51"/>
      <c r="O247" s="51"/>
      <c r="P247" s="66"/>
      <c r="Q247" s="19"/>
      <c r="R247" s="19"/>
      <c r="S247" s="19"/>
      <c r="T247" s="19"/>
      <c r="U247" s="19"/>
    </row>
    <row r="248" spans="1:21" x14ac:dyDescent="0.2">
      <c r="A248" s="38" t="s">
        <v>299</v>
      </c>
      <c r="B248" s="46" t="s">
        <v>298</v>
      </c>
      <c r="C248" s="46" t="s">
        <v>67</v>
      </c>
      <c r="D248" s="57" t="s">
        <v>297</v>
      </c>
      <c r="E248" s="50">
        <f>F248+I248</f>
        <v>3460600</v>
      </c>
      <c r="F248" s="51">
        <f>3341400+75000+44200</f>
        <v>3460600</v>
      </c>
      <c r="G248" s="51">
        <f>2398300+39000</f>
        <v>2437300</v>
      </c>
      <c r="H248" s="51">
        <f>313500-9000</f>
        <v>304500</v>
      </c>
      <c r="I248" s="51"/>
      <c r="J248" s="50">
        <f t="shared" si="50"/>
        <v>101600</v>
      </c>
      <c r="K248" s="51">
        <v>61600</v>
      </c>
      <c r="L248" s="51">
        <v>40000</v>
      </c>
      <c r="M248" s="51">
        <v>4600</v>
      </c>
      <c r="N248" s="51"/>
      <c r="O248" s="51">
        <f t="shared" si="51"/>
        <v>61600</v>
      </c>
      <c r="P248" s="66">
        <f t="shared" si="44"/>
        <v>3562200</v>
      </c>
      <c r="Q248" s="19"/>
      <c r="R248" s="19"/>
      <c r="S248" s="19"/>
      <c r="T248" s="19"/>
      <c r="U248" s="19"/>
    </row>
    <row r="249" spans="1:21" ht="25.5" x14ac:dyDescent="0.2">
      <c r="A249" s="38" t="s">
        <v>301</v>
      </c>
      <c r="B249" s="72" t="s">
        <v>54</v>
      </c>
      <c r="C249" s="72" t="s">
        <v>68</v>
      </c>
      <c r="D249" s="75" t="s">
        <v>300</v>
      </c>
      <c r="E249" s="50">
        <f t="shared" si="49"/>
        <v>8510400</v>
      </c>
      <c r="F249" s="51">
        <f>8807400-110000-5000+50000-90000+9000+115000-100000-166000</f>
        <v>8510400</v>
      </c>
      <c r="G249" s="51">
        <f>5006500-160700</f>
        <v>4845800</v>
      </c>
      <c r="H249" s="51">
        <f>2217700-110000-90000-100000</f>
        <v>1917700</v>
      </c>
      <c r="I249" s="51"/>
      <c r="J249" s="50">
        <f t="shared" si="50"/>
        <v>2173005</v>
      </c>
      <c r="K249" s="51">
        <f>70000-1795+1399800</f>
        <v>1468005</v>
      </c>
      <c r="L249" s="51">
        <v>705000</v>
      </c>
      <c r="M249" s="51">
        <v>150000</v>
      </c>
      <c r="N249" s="51"/>
      <c r="O249" s="51">
        <f t="shared" si="51"/>
        <v>1468005</v>
      </c>
      <c r="P249" s="66">
        <f t="shared" si="44"/>
        <v>10683405</v>
      </c>
      <c r="Q249" s="19"/>
      <c r="R249" s="19"/>
      <c r="S249" s="19"/>
      <c r="T249" s="19"/>
      <c r="U249" s="19"/>
    </row>
    <row r="250" spans="1:21" hidden="1" x14ac:dyDescent="0.2">
      <c r="A250" s="38" t="s">
        <v>306</v>
      </c>
      <c r="B250" s="72" t="s">
        <v>305</v>
      </c>
      <c r="C250" s="72"/>
      <c r="D250" s="55" t="s">
        <v>304</v>
      </c>
      <c r="E250" s="50">
        <f t="shared" si="49"/>
        <v>0</v>
      </c>
      <c r="F250" s="51"/>
      <c r="G250" s="51"/>
      <c r="H250" s="51"/>
      <c r="I250" s="51">
        <f>I251+I252</f>
        <v>0</v>
      </c>
      <c r="J250" s="50">
        <f t="shared" si="50"/>
        <v>0</v>
      </c>
      <c r="K250" s="51"/>
      <c r="L250" s="51"/>
      <c r="M250" s="51"/>
      <c r="N250" s="51"/>
      <c r="O250" s="51">
        <f t="shared" si="51"/>
        <v>0</v>
      </c>
      <c r="P250" s="66">
        <f t="shared" si="44"/>
        <v>0</v>
      </c>
      <c r="Q250" s="19"/>
      <c r="R250" s="19"/>
      <c r="S250" s="19"/>
      <c r="T250" s="19"/>
      <c r="U250" s="19"/>
    </row>
    <row r="251" spans="1:21" x14ac:dyDescent="0.2">
      <c r="A251" s="38" t="s">
        <v>442</v>
      </c>
      <c r="B251" s="72" t="s">
        <v>440</v>
      </c>
      <c r="C251" s="72" t="s">
        <v>69</v>
      </c>
      <c r="D251" s="55" t="s">
        <v>444</v>
      </c>
      <c r="E251" s="50">
        <f t="shared" si="49"/>
        <v>2220000</v>
      </c>
      <c r="F251" s="51">
        <f>2323500-103500</f>
        <v>2220000</v>
      </c>
      <c r="G251" s="51">
        <f>1791700-86000</f>
        <v>1705700</v>
      </c>
      <c r="H251" s="51"/>
      <c r="I251" s="51"/>
      <c r="J251" s="50">
        <f t="shared" si="50"/>
        <v>50500</v>
      </c>
      <c r="K251" s="51">
        <v>50500</v>
      </c>
      <c r="L251" s="51"/>
      <c r="M251" s="51"/>
      <c r="N251" s="51"/>
      <c r="O251" s="51">
        <f t="shared" si="51"/>
        <v>50500</v>
      </c>
      <c r="P251" s="66">
        <f t="shared" si="44"/>
        <v>2270500</v>
      </c>
      <c r="Q251" s="19"/>
      <c r="R251" s="19"/>
      <c r="S251" s="19"/>
      <c r="T251" s="19"/>
      <c r="U251" s="19"/>
    </row>
    <row r="252" spans="1:21" x14ac:dyDescent="0.2">
      <c r="A252" s="38" t="s">
        <v>443</v>
      </c>
      <c r="B252" s="72" t="s">
        <v>441</v>
      </c>
      <c r="C252" s="72" t="s">
        <v>69</v>
      </c>
      <c r="D252" s="55" t="s">
        <v>445</v>
      </c>
      <c r="E252" s="50">
        <f t="shared" si="49"/>
        <v>3037000</v>
      </c>
      <c r="F252" s="51">
        <f>3227000-75000-115000</f>
        <v>3037000</v>
      </c>
      <c r="G252" s="51"/>
      <c r="H252" s="51"/>
      <c r="I252" s="51"/>
      <c r="J252" s="50">
        <f t="shared" si="50"/>
        <v>0</v>
      </c>
      <c r="K252" s="51"/>
      <c r="L252" s="51"/>
      <c r="M252" s="51"/>
      <c r="N252" s="51"/>
      <c r="O252" s="51">
        <f t="shared" si="51"/>
        <v>0</v>
      </c>
      <c r="P252" s="66">
        <f t="shared" si="44"/>
        <v>3037000</v>
      </c>
      <c r="Q252" s="19"/>
      <c r="R252" s="19"/>
      <c r="S252" s="19"/>
      <c r="T252" s="19"/>
      <c r="U252" s="19"/>
    </row>
    <row r="253" spans="1:21" ht="16.149999999999999" customHeight="1" x14ac:dyDescent="0.2">
      <c r="A253" s="39">
        <v>1100000</v>
      </c>
      <c r="B253" s="60"/>
      <c r="C253" s="101"/>
      <c r="D253" s="148" t="s">
        <v>0</v>
      </c>
      <c r="E253" s="77">
        <f>E254</f>
        <v>22823597</v>
      </c>
      <c r="F253" s="77">
        <f>F254</f>
        <v>22823597</v>
      </c>
      <c r="G253" s="77">
        <f>G254</f>
        <v>12441600</v>
      </c>
      <c r="H253" s="77">
        <f>H254</f>
        <v>1470900</v>
      </c>
      <c r="I253" s="77">
        <f>I254</f>
        <v>0</v>
      </c>
      <c r="J253" s="77">
        <f t="shared" ref="J253:P253" si="52">J254</f>
        <v>2325703</v>
      </c>
      <c r="K253" s="77">
        <f>K254</f>
        <v>1530403</v>
      </c>
      <c r="L253" s="77">
        <f t="shared" si="52"/>
        <v>795300</v>
      </c>
      <c r="M253" s="77">
        <f t="shared" si="52"/>
        <v>50400</v>
      </c>
      <c r="N253" s="77">
        <f t="shared" si="52"/>
        <v>116300</v>
      </c>
      <c r="O253" s="77">
        <f t="shared" si="52"/>
        <v>1530403</v>
      </c>
      <c r="P253" s="77">
        <f t="shared" si="52"/>
        <v>25149300</v>
      </c>
      <c r="Q253" s="19"/>
      <c r="R253" s="129"/>
      <c r="S253" s="19"/>
      <c r="T253" s="19"/>
      <c r="U253" s="19"/>
    </row>
    <row r="254" spans="1:21" ht="18.75" customHeight="1" x14ac:dyDescent="0.2">
      <c r="A254" s="38">
        <v>1110000</v>
      </c>
      <c r="B254" s="74"/>
      <c r="C254" s="101"/>
      <c r="D254" s="22" t="s">
        <v>0</v>
      </c>
      <c r="E254" s="77">
        <f>E255+E257+E259+E260+E262+E264+E267+E269+E270</f>
        <v>22823597</v>
      </c>
      <c r="F254" s="77">
        <f>F255+F257+F259+F260+F262+F264+F267+F269+F270</f>
        <v>22823597</v>
      </c>
      <c r="G254" s="77">
        <f>G255+G257+G259+G260+G262+G264+G267+G269+G270</f>
        <v>12441600</v>
      </c>
      <c r="H254" s="77">
        <f>H255+H257+H259+H260+H262+H264+H267+H269+H270</f>
        <v>1470900</v>
      </c>
      <c r="I254" s="77">
        <f>I255+I257+I259+I260+I262+I264+I267+I269+I270</f>
        <v>0</v>
      </c>
      <c r="J254" s="77">
        <f t="shared" ref="J254:O254" si="53">J255+J256+J258+J263+J266+J261+J268+J267</f>
        <v>2325703</v>
      </c>
      <c r="K254" s="77">
        <f t="shared" si="53"/>
        <v>1530403</v>
      </c>
      <c r="L254" s="77">
        <f t="shared" si="53"/>
        <v>795300</v>
      </c>
      <c r="M254" s="77">
        <f t="shared" si="53"/>
        <v>50400</v>
      </c>
      <c r="N254" s="77">
        <f t="shared" si="53"/>
        <v>116300</v>
      </c>
      <c r="O254" s="77">
        <f t="shared" si="53"/>
        <v>1530403</v>
      </c>
      <c r="P254" s="77">
        <f>P255+P257+P259+P260+P262+P264+P267+P269+P270</f>
        <v>25149300</v>
      </c>
      <c r="Q254" s="19"/>
      <c r="R254" s="19"/>
      <c r="S254" s="19"/>
      <c r="T254" s="19"/>
      <c r="U254" s="19"/>
    </row>
    <row r="255" spans="1:21" s="19" customFormat="1" ht="25.5" x14ac:dyDescent="0.2">
      <c r="A255" s="38" t="s">
        <v>307</v>
      </c>
      <c r="B255" s="25" t="s">
        <v>196</v>
      </c>
      <c r="C255" s="102" t="s">
        <v>121</v>
      </c>
      <c r="D255" s="76" t="s">
        <v>195</v>
      </c>
      <c r="E255" s="50">
        <f t="shared" ref="E255:E270" si="54">F255+I255</f>
        <v>2893700</v>
      </c>
      <c r="F255" s="51">
        <f>2433300+430400+30000</f>
        <v>2893700</v>
      </c>
      <c r="G255" s="51">
        <f>1907600+352800-17500</f>
        <v>2242900</v>
      </c>
      <c r="H255" s="51"/>
      <c r="I255" s="51"/>
      <c r="J255" s="50">
        <f>L255+O255</f>
        <v>0</v>
      </c>
      <c r="K255" s="51"/>
      <c r="L255" s="51"/>
      <c r="M255" s="51"/>
      <c r="N255" s="51"/>
      <c r="O255" s="51">
        <f t="shared" ref="O255:O267" si="55">K255</f>
        <v>0</v>
      </c>
      <c r="P255" s="66">
        <f t="shared" ref="P255:P272" si="56">E255+J255</f>
        <v>2893700</v>
      </c>
    </row>
    <row r="256" spans="1:21" s="19" customFormat="1" hidden="1" x14ac:dyDescent="0.2">
      <c r="A256" s="38" t="s">
        <v>308</v>
      </c>
      <c r="B256" s="93" t="s">
        <v>154</v>
      </c>
      <c r="C256" s="103"/>
      <c r="D256" s="96" t="s">
        <v>148</v>
      </c>
      <c r="E256" s="50">
        <f t="shared" si="54"/>
        <v>0</v>
      </c>
      <c r="F256" s="51"/>
      <c r="G256" s="51"/>
      <c r="H256" s="51"/>
      <c r="I256" s="51"/>
      <c r="J256" s="50">
        <f t="shared" ref="J256:J270" si="57">L256+O256</f>
        <v>0</v>
      </c>
      <c r="K256" s="51"/>
      <c r="L256" s="51"/>
      <c r="M256" s="51"/>
      <c r="N256" s="51"/>
      <c r="O256" s="51">
        <f t="shared" si="55"/>
        <v>0</v>
      </c>
      <c r="P256" s="66">
        <f t="shared" si="56"/>
        <v>0</v>
      </c>
    </row>
    <row r="257" spans="1:18" s="8" customFormat="1" ht="15.75" customHeight="1" x14ac:dyDescent="0.2">
      <c r="A257" s="37" t="s">
        <v>309</v>
      </c>
      <c r="B257" s="95" t="s">
        <v>279</v>
      </c>
      <c r="C257" s="104" t="s">
        <v>1</v>
      </c>
      <c r="D257" s="120" t="s">
        <v>141</v>
      </c>
      <c r="E257" s="47">
        <f t="shared" si="54"/>
        <v>650000</v>
      </c>
      <c r="F257" s="83">
        <v>650000</v>
      </c>
      <c r="G257" s="83"/>
      <c r="H257" s="83"/>
      <c r="I257" s="83"/>
      <c r="J257" s="50">
        <f t="shared" si="57"/>
        <v>0</v>
      </c>
      <c r="K257" s="83"/>
      <c r="L257" s="83"/>
      <c r="M257" s="83"/>
      <c r="N257" s="83"/>
      <c r="O257" s="51">
        <f t="shared" si="55"/>
        <v>0</v>
      </c>
      <c r="P257" s="80">
        <f t="shared" si="56"/>
        <v>650000</v>
      </c>
    </row>
    <row r="258" spans="1:18" s="19" customFormat="1" ht="15.75" hidden="1" customHeight="1" x14ac:dyDescent="0.2">
      <c r="A258" s="38">
        <v>1115010</v>
      </c>
      <c r="B258" s="93" t="s">
        <v>149</v>
      </c>
      <c r="C258" s="103"/>
      <c r="D258" s="94" t="s">
        <v>18</v>
      </c>
      <c r="E258" s="50">
        <f t="shared" si="54"/>
        <v>0</v>
      </c>
      <c r="F258" s="51"/>
      <c r="G258" s="51"/>
      <c r="H258" s="51"/>
      <c r="I258" s="51">
        <f>SUM(I259:I260)</f>
        <v>0</v>
      </c>
      <c r="J258" s="50">
        <f t="shared" si="57"/>
        <v>0</v>
      </c>
      <c r="K258" s="51">
        <f>SUM(K259:K260)</f>
        <v>0</v>
      </c>
      <c r="L258" s="51">
        <f>SUM(L259:L260)</f>
        <v>0</v>
      </c>
      <c r="M258" s="51">
        <f>SUM(M259:M260)</f>
        <v>0</v>
      </c>
      <c r="N258" s="51">
        <f>SUM(N259:N260)</f>
        <v>0</v>
      </c>
      <c r="O258" s="51">
        <f t="shared" si="55"/>
        <v>0</v>
      </c>
      <c r="P258" s="66">
        <f t="shared" si="56"/>
        <v>0</v>
      </c>
    </row>
    <row r="259" spans="1:18" s="8" customFormat="1" ht="15.75" customHeight="1" x14ac:dyDescent="0.2">
      <c r="A259" s="37">
        <v>1115011</v>
      </c>
      <c r="B259" s="95" t="s">
        <v>33</v>
      </c>
      <c r="C259" s="104" t="s">
        <v>2</v>
      </c>
      <c r="D259" s="26" t="s">
        <v>91</v>
      </c>
      <c r="E259" s="47">
        <f t="shared" si="54"/>
        <v>1267800</v>
      </c>
      <c r="F259" s="83">
        <v>1267800</v>
      </c>
      <c r="G259" s="83"/>
      <c r="H259" s="83"/>
      <c r="I259" s="83"/>
      <c r="J259" s="50">
        <f t="shared" si="57"/>
        <v>0</v>
      </c>
      <c r="K259" s="83"/>
      <c r="L259" s="83"/>
      <c r="M259" s="83"/>
      <c r="N259" s="83"/>
      <c r="O259" s="51">
        <f t="shared" si="55"/>
        <v>0</v>
      </c>
      <c r="P259" s="66">
        <f t="shared" si="56"/>
        <v>1267800</v>
      </c>
    </row>
    <row r="260" spans="1:18" s="8" customFormat="1" ht="25.5" customHeight="1" x14ac:dyDescent="0.2">
      <c r="A260" s="37">
        <v>1115012</v>
      </c>
      <c r="B260" s="95" t="s">
        <v>12</v>
      </c>
      <c r="C260" s="104" t="s">
        <v>2</v>
      </c>
      <c r="D260" s="96" t="s">
        <v>11</v>
      </c>
      <c r="E260" s="47">
        <f t="shared" si="54"/>
        <v>822000</v>
      </c>
      <c r="F260" s="83">
        <v>822000</v>
      </c>
      <c r="G260" s="83"/>
      <c r="H260" s="83"/>
      <c r="I260" s="83"/>
      <c r="J260" s="50">
        <f t="shared" si="57"/>
        <v>0</v>
      </c>
      <c r="K260" s="83"/>
      <c r="L260" s="83"/>
      <c r="M260" s="83"/>
      <c r="N260" s="83"/>
      <c r="O260" s="51">
        <f t="shared" si="55"/>
        <v>0</v>
      </c>
      <c r="P260" s="66">
        <f t="shared" si="56"/>
        <v>822000</v>
      </c>
    </row>
    <row r="261" spans="1:18" s="19" customFormat="1" ht="15.75" hidden="1" customHeight="1" x14ac:dyDescent="0.2">
      <c r="A261" s="38" t="s">
        <v>401</v>
      </c>
      <c r="B261" s="93" t="s">
        <v>402</v>
      </c>
      <c r="C261" s="103"/>
      <c r="D261" s="96" t="s">
        <v>456</v>
      </c>
      <c r="E261" s="50">
        <f t="shared" si="54"/>
        <v>0</v>
      </c>
      <c r="F261" s="51"/>
      <c r="G261" s="51"/>
      <c r="H261" s="51"/>
      <c r="I261" s="51">
        <f>I262</f>
        <v>0</v>
      </c>
      <c r="J261" s="50">
        <f t="shared" si="57"/>
        <v>0</v>
      </c>
      <c r="K261" s="51">
        <f>K262</f>
        <v>0</v>
      </c>
      <c r="L261" s="51">
        <f>L262</f>
        <v>0</v>
      </c>
      <c r="M261" s="51">
        <f>M262</f>
        <v>0</v>
      </c>
      <c r="N261" s="51">
        <f>N262</f>
        <v>0</v>
      </c>
      <c r="O261" s="51">
        <f t="shared" si="55"/>
        <v>0</v>
      </c>
      <c r="P261" s="66">
        <f t="shared" si="56"/>
        <v>0</v>
      </c>
    </row>
    <row r="262" spans="1:18" s="8" customFormat="1" ht="26.25" customHeight="1" x14ac:dyDescent="0.2">
      <c r="A262" s="37" t="s">
        <v>404</v>
      </c>
      <c r="B262" s="95" t="s">
        <v>403</v>
      </c>
      <c r="C262" s="104" t="s">
        <v>2</v>
      </c>
      <c r="D262" s="96" t="s">
        <v>457</v>
      </c>
      <c r="E262" s="47">
        <f t="shared" si="54"/>
        <v>24000</v>
      </c>
      <c r="F262" s="83">
        <v>24000</v>
      </c>
      <c r="G262" s="83"/>
      <c r="H262" s="83"/>
      <c r="I262" s="83"/>
      <c r="J262" s="50">
        <f t="shared" si="57"/>
        <v>0</v>
      </c>
      <c r="K262" s="83"/>
      <c r="L262" s="83"/>
      <c r="M262" s="83"/>
      <c r="N262" s="83"/>
      <c r="O262" s="51">
        <f t="shared" si="55"/>
        <v>0</v>
      </c>
      <c r="P262" s="66">
        <f t="shared" si="56"/>
        <v>24000</v>
      </c>
    </row>
    <row r="263" spans="1:18" s="19" customFormat="1" hidden="1" x14ac:dyDescent="0.2">
      <c r="A263" s="38">
        <v>1115030</v>
      </c>
      <c r="B263" s="93" t="s">
        <v>150</v>
      </c>
      <c r="C263" s="103"/>
      <c r="D263" s="26" t="s">
        <v>142</v>
      </c>
      <c r="E263" s="50">
        <f t="shared" si="54"/>
        <v>0</v>
      </c>
      <c r="F263" s="51"/>
      <c r="G263" s="51"/>
      <c r="H263" s="51"/>
      <c r="I263" s="51">
        <f t="shared" ref="I263:N263" si="58">SUM(I264)</f>
        <v>0</v>
      </c>
      <c r="J263" s="50">
        <f t="shared" si="57"/>
        <v>763300</v>
      </c>
      <c r="K263" s="51">
        <f>SUM(K264)</f>
        <v>18000</v>
      </c>
      <c r="L263" s="51">
        <f t="shared" si="58"/>
        <v>745300</v>
      </c>
      <c r="M263" s="51">
        <f t="shared" si="58"/>
        <v>40700</v>
      </c>
      <c r="N263" s="51">
        <f t="shared" si="58"/>
        <v>99300</v>
      </c>
      <c r="O263" s="51">
        <f t="shared" si="55"/>
        <v>18000</v>
      </c>
      <c r="P263" s="66">
        <f t="shared" si="56"/>
        <v>763300</v>
      </c>
    </row>
    <row r="264" spans="1:18" s="8" customFormat="1" ht="25.5" x14ac:dyDescent="0.2">
      <c r="A264" s="37">
        <v>1115031</v>
      </c>
      <c r="B264" s="95" t="s">
        <v>143</v>
      </c>
      <c r="C264" s="104" t="s">
        <v>2</v>
      </c>
      <c r="D264" s="26" t="s">
        <v>92</v>
      </c>
      <c r="E264" s="50">
        <f t="shared" si="54"/>
        <v>11111600</v>
      </c>
      <c r="F264" s="83">
        <f>11312700-5200-58700-120800-16400</f>
        <v>11111600</v>
      </c>
      <c r="G264" s="83">
        <f>8252500-120800</f>
        <v>8131700</v>
      </c>
      <c r="H264" s="83">
        <f>1087400-5200-58700-47000</f>
        <v>976500</v>
      </c>
      <c r="I264" s="83"/>
      <c r="J264" s="50">
        <f t="shared" si="57"/>
        <v>763300</v>
      </c>
      <c r="K264" s="51">
        <v>18000</v>
      </c>
      <c r="L264" s="51">
        <v>745300</v>
      </c>
      <c r="M264" s="51">
        <v>40700</v>
      </c>
      <c r="N264" s="51">
        <v>99300</v>
      </c>
      <c r="O264" s="51">
        <f t="shared" si="55"/>
        <v>18000</v>
      </c>
      <c r="P264" s="66">
        <f t="shared" si="56"/>
        <v>11874900</v>
      </c>
    </row>
    <row r="265" spans="1:18" s="8" customFormat="1" ht="18" customHeight="1" x14ac:dyDescent="0.2">
      <c r="A265" s="37"/>
      <c r="B265" s="95"/>
      <c r="C265" s="104"/>
      <c r="D265" s="40" t="s">
        <v>510</v>
      </c>
      <c r="E265" s="50"/>
      <c r="F265" s="83"/>
      <c r="G265" s="83"/>
      <c r="H265" s="83"/>
      <c r="I265" s="83"/>
      <c r="J265" s="47">
        <f>L265+O265</f>
        <v>18000</v>
      </c>
      <c r="K265" s="83">
        <v>18000</v>
      </c>
      <c r="L265" s="83"/>
      <c r="M265" s="83"/>
      <c r="N265" s="83"/>
      <c r="O265" s="83">
        <f>K265</f>
        <v>18000</v>
      </c>
      <c r="P265" s="66">
        <f t="shared" si="56"/>
        <v>18000</v>
      </c>
    </row>
    <row r="266" spans="1:18" s="19" customFormat="1" ht="18.75" hidden="1" customHeight="1" x14ac:dyDescent="0.2">
      <c r="A266" s="38">
        <v>1115040</v>
      </c>
      <c r="B266" s="93" t="s">
        <v>144</v>
      </c>
      <c r="C266" s="103"/>
      <c r="D266" s="26" t="s">
        <v>145</v>
      </c>
      <c r="E266" s="50">
        <f>E267</f>
        <v>4444897</v>
      </c>
      <c r="F266" s="50"/>
      <c r="G266" s="50"/>
      <c r="H266" s="50"/>
      <c r="I266" s="50">
        <f>I267</f>
        <v>0</v>
      </c>
      <c r="J266" s="50">
        <f t="shared" si="57"/>
        <v>0</v>
      </c>
      <c r="K266" s="50"/>
      <c r="L266" s="50"/>
      <c r="M266" s="50"/>
      <c r="N266" s="50"/>
      <c r="O266" s="51">
        <f t="shared" si="55"/>
        <v>0</v>
      </c>
      <c r="P266" s="66">
        <f t="shared" si="56"/>
        <v>4444897</v>
      </c>
    </row>
    <row r="267" spans="1:18" s="8" customFormat="1" ht="17.25" customHeight="1" x14ac:dyDescent="0.2">
      <c r="A267" s="37">
        <v>1115041</v>
      </c>
      <c r="B267" s="95" t="s">
        <v>146</v>
      </c>
      <c r="C267" s="104" t="s">
        <v>2</v>
      </c>
      <c r="D267" s="26" t="s">
        <v>310</v>
      </c>
      <c r="E267" s="50">
        <f t="shared" si="54"/>
        <v>4444897</v>
      </c>
      <c r="F267" s="83">
        <f>4740300+5200-49800-168800-44600+20000+5000-62403</f>
        <v>4444897</v>
      </c>
      <c r="G267" s="83">
        <f>1313600-168800</f>
        <v>1144800</v>
      </c>
      <c r="H267" s="83">
        <f>559200-15000-49800</f>
        <v>494400</v>
      </c>
      <c r="I267" s="83"/>
      <c r="J267" s="50">
        <f t="shared" si="57"/>
        <v>362403</v>
      </c>
      <c r="K267" s="51">
        <f>250000+62403</f>
        <v>312403</v>
      </c>
      <c r="L267" s="51">
        <v>50000</v>
      </c>
      <c r="M267" s="51">
        <v>9700</v>
      </c>
      <c r="N267" s="51">
        <v>17000</v>
      </c>
      <c r="O267" s="51">
        <f t="shared" si="55"/>
        <v>312403</v>
      </c>
      <c r="P267" s="66">
        <f t="shared" si="56"/>
        <v>4807300</v>
      </c>
    </row>
    <row r="268" spans="1:18" s="19" customFormat="1" ht="12.75" hidden="1" customHeight="1" x14ac:dyDescent="0.2">
      <c r="A268" s="38" t="s">
        <v>479</v>
      </c>
      <c r="B268" s="93" t="s">
        <v>481</v>
      </c>
      <c r="C268" s="103"/>
      <c r="D268" s="26" t="s">
        <v>480</v>
      </c>
      <c r="E268" s="50">
        <f>E269+E270</f>
        <v>1609600</v>
      </c>
      <c r="F268" s="50"/>
      <c r="G268" s="50"/>
      <c r="H268" s="50"/>
      <c r="I268" s="50">
        <f t="shared" ref="I268:O268" si="59">I269+I270</f>
        <v>0</v>
      </c>
      <c r="J268" s="50">
        <f t="shared" si="59"/>
        <v>1200000</v>
      </c>
      <c r="K268" s="50">
        <f>K269+K270</f>
        <v>1200000</v>
      </c>
      <c r="L268" s="50">
        <f t="shared" si="59"/>
        <v>0</v>
      </c>
      <c r="M268" s="50">
        <f t="shared" si="59"/>
        <v>0</v>
      </c>
      <c r="N268" s="50">
        <f t="shared" si="59"/>
        <v>0</v>
      </c>
      <c r="O268" s="50">
        <f t="shared" si="59"/>
        <v>1200000</v>
      </c>
      <c r="P268" s="66">
        <f t="shared" si="56"/>
        <v>2809600</v>
      </c>
    </row>
    <row r="269" spans="1:18" s="8" customFormat="1" ht="27" hidden="1" customHeight="1" x14ac:dyDescent="0.2">
      <c r="A269" s="37" t="s">
        <v>483</v>
      </c>
      <c r="B269" s="95" t="s">
        <v>484</v>
      </c>
      <c r="C269" s="104" t="s">
        <v>2</v>
      </c>
      <c r="D269" s="26" t="s">
        <v>482</v>
      </c>
      <c r="E269" s="50">
        <f t="shared" si="54"/>
        <v>0</v>
      </c>
      <c r="F269" s="83"/>
      <c r="G269" s="83"/>
      <c r="H269" s="83"/>
      <c r="I269" s="83"/>
      <c r="J269" s="50">
        <f t="shared" si="57"/>
        <v>0</v>
      </c>
      <c r="K269" s="83"/>
      <c r="L269" s="83"/>
      <c r="M269" s="83"/>
      <c r="N269" s="83"/>
      <c r="O269" s="51">
        <f>K269</f>
        <v>0</v>
      </c>
      <c r="P269" s="80">
        <f t="shared" si="56"/>
        <v>0</v>
      </c>
    </row>
    <row r="270" spans="1:18" s="8" customFormat="1" ht="17.25" customHeight="1" x14ac:dyDescent="0.2">
      <c r="A270" s="37" t="s">
        <v>528</v>
      </c>
      <c r="B270" s="95" t="s">
        <v>529</v>
      </c>
      <c r="C270" s="104" t="s">
        <v>2</v>
      </c>
      <c r="D270" s="73" t="s">
        <v>530</v>
      </c>
      <c r="E270" s="50">
        <f t="shared" si="54"/>
        <v>1609600</v>
      </c>
      <c r="F270" s="83">
        <f>1205500+78500+204200+45400+70000+6000</f>
        <v>1609600</v>
      </c>
      <c r="G270" s="83">
        <f>718000+204200</f>
        <v>922200</v>
      </c>
      <c r="H270" s="83"/>
      <c r="I270" s="83"/>
      <c r="J270" s="50">
        <f t="shared" si="57"/>
        <v>1200000</v>
      </c>
      <c r="K270" s="83">
        <v>1200000</v>
      </c>
      <c r="L270" s="83"/>
      <c r="M270" s="83"/>
      <c r="N270" s="83"/>
      <c r="O270" s="51">
        <f>K270</f>
        <v>1200000</v>
      </c>
      <c r="P270" s="80">
        <f t="shared" si="56"/>
        <v>2809600</v>
      </c>
    </row>
    <row r="271" spans="1:18" s="19" customFormat="1" ht="25.5" x14ac:dyDescent="0.2">
      <c r="A271" s="39">
        <v>1200000</v>
      </c>
      <c r="B271" s="29"/>
      <c r="C271" s="30"/>
      <c r="D271" s="119" t="s">
        <v>70</v>
      </c>
      <c r="E271" s="100">
        <f>E273</f>
        <v>137798622</v>
      </c>
      <c r="F271" s="100">
        <f t="shared" ref="F271:O271" si="60">F273</f>
        <v>137798622</v>
      </c>
      <c r="G271" s="100">
        <f t="shared" si="60"/>
        <v>3709800</v>
      </c>
      <c r="H271" s="100">
        <f t="shared" si="60"/>
        <v>10485400</v>
      </c>
      <c r="I271" s="100">
        <f t="shared" si="60"/>
        <v>0</v>
      </c>
      <c r="J271" s="100">
        <f t="shared" si="60"/>
        <v>9251578</v>
      </c>
      <c r="K271" s="100">
        <f t="shared" si="60"/>
        <v>9131578</v>
      </c>
      <c r="L271" s="100">
        <f t="shared" si="60"/>
        <v>120000</v>
      </c>
      <c r="M271" s="100">
        <f t="shared" si="60"/>
        <v>0</v>
      </c>
      <c r="N271" s="100">
        <f t="shared" si="60"/>
        <v>0</v>
      </c>
      <c r="O271" s="100">
        <f t="shared" si="60"/>
        <v>9131578</v>
      </c>
      <c r="P271" s="66">
        <f t="shared" si="56"/>
        <v>147050200</v>
      </c>
      <c r="R271" s="129"/>
    </row>
    <row r="272" spans="1:18" s="8" customFormat="1" x14ac:dyDescent="0.2">
      <c r="A272" s="37"/>
      <c r="B272" s="87"/>
      <c r="C272" s="20"/>
      <c r="D272" s="78" t="s">
        <v>510</v>
      </c>
      <c r="E272" s="100">
        <f>F272+I272</f>
        <v>0</v>
      </c>
      <c r="F272" s="83">
        <f>F288+F297</f>
        <v>0</v>
      </c>
      <c r="G272" s="83"/>
      <c r="H272" s="83"/>
      <c r="I272" s="83"/>
      <c r="J272" s="83">
        <f>K272+L272</f>
        <v>0</v>
      </c>
      <c r="K272" s="83">
        <f>K278+K284</f>
        <v>0</v>
      </c>
      <c r="L272" s="83"/>
      <c r="M272" s="83"/>
      <c r="N272" s="83"/>
      <c r="O272" s="83">
        <f>K272</f>
        <v>0</v>
      </c>
      <c r="P272" s="80">
        <f t="shared" si="56"/>
        <v>0</v>
      </c>
    </row>
    <row r="273" spans="1:21" s="19" customFormat="1" ht="25.5" x14ac:dyDescent="0.2">
      <c r="A273" s="38" t="s">
        <v>311</v>
      </c>
      <c r="B273" s="31"/>
      <c r="C273" s="30"/>
      <c r="D273" s="78" t="s">
        <v>111</v>
      </c>
      <c r="E273" s="100">
        <f>E274+E275+E276+E286+E287+E292+E283+E294+E299+E300+E301+E302+E290+E289+E303+E285+E304+E295+E279</f>
        <v>137798622</v>
      </c>
      <c r="F273" s="142">
        <f>F274+F275+F276+F286+F287+F292+F283+F294+F299+F300+F301+F302+F290+F289+F303+F285+F304+F295+F279</f>
        <v>137798622</v>
      </c>
      <c r="G273" s="100">
        <f>G274+G275+G276+G286+G287+G292+G283+G294+G299+G300+G301+G302+G290+G289+G303+G285+G304+G295</f>
        <v>3709800</v>
      </c>
      <c r="H273" s="100">
        <f>H274+H275+H276+H286+H287+H292+H283+H294+H299+H300+H301+H302+H290+H289+H303+H285+H304+H295</f>
        <v>10485400</v>
      </c>
      <c r="I273" s="100">
        <f>I274+I275+I276+I286+I287+I292+I283+I294+I299+I300+I301+I302+I290+I289+I303+I285+I304+I295</f>
        <v>0</v>
      </c>
      <c r="J273" s="100">
        <f>J274+J275+J276+J286+J287+J292+J283+J294+J299+J300+J301+J302+J290+J289+J285+J282+J277+J293+J279</f>
        <v>9251578</v>
      </c>
      <c r="K273" s="105">
        <f>K274+K275+K276+K286+K287+K292+K283+K294+K299+K300+K301+K302+K290+K289+K285+K282+K277+K293+K279</f>
        <v>9131578</v>
      </c>
      <c r="L273" s="100">
        <f>L274+L275+L276+L286+L287+L292+L283+L294+L299+L300+L301+L302+L290+L289+L285+L282+L277+L293</f>
        <v>120000</v>
      </c>
      <c r="M273" s="100">
        <f>M274+M275+M276+M286+M287+M292+M283+M294+M299+M300+M301+M302+M290+M289+M285+M282+M277+M293</f>
        <v>0</v>
      </c>
      <c r="N273" s="100">
        <f>N274+N275+N276+N286+N287+N292+N283+N294+N299+N300+N301+N302+N290+N289+N285+N282+N277+N293</f>
        <v>0</v>
      </c>
      <c r="O273" s="100">
        <f>O274+O275+O276+O286+O287+O292+O283+O294+O299+O300+O301+O302+O290+O289+O285+O282+O277+O293+O279</f>
        <v>9131578</v>
      </c>
      <c r="P273" s="100">
        <f>P274+P275+P276+P286+P287+P292+P283+P294+P299+P300+P301+P302+P290+P289+P303+P285+P304+P277+P282+P295+P293+P279</f>
        <v>147050200</v>
      </c>
    </row>
    <row r="274" spans="1:21" s="19" customFormat="1" ht="25.5" x14ac:dyDescent="0.2">
      <c r="A274" s="38" t="s">
        <v>312</v>
      </c>
      <c r="B274" s="25" t="s">
        <v>196</v>
      </c>
      <c r="C274" s="25" t="s">
        <v>121</v>
      </c>
      <c r="D274" s="76" t="s">
        <v>195</v>
      </c>
      <c r="E274" s="50">
        <f t="shared" ref="E274:E298" si="61">F274+I274</f>
        <v>4905200</v>
      </c>
      <c r="F274" s="51">
        <f>4910500-250300+50000+170000+25000</f>
        <v>4905200</v>
      </c>
      <c r="G274" s="51">
        <f>3750000-205200+140000+25000</f>
        <v>3709800</v>
      </c>
      <c r="H274" s="51">
        <f>129200-40000</f>
        <v>89200</v>
      </c>
      <c r="I274" s="51"/>
      <c r="J274" s="50">
        <f>L274+O274</f>
        <v>0</v>
      </c>
      <c r="K274" s="67"/>
      <c r="L274" s="51"/>
      <c r="M274" s="51"/>
      <c r="N274" s="51"/>
      <c r="O274" s="67">
        <f t="shared" ref="O274:O302" si="62">K274</f>
        <v>0</v>
      </c>
      <c r="P274" s="66">
        <f t="shared" ref="P274:P290" si="63">E274+J274</f>
        <v>4905200</v>
      </c>
    </row>
    <row r="275" spans="1:21" ht="25.5" hidden="1" x14ac:dyDescent="0.2">
      <c r="A275" s="38">
        <v>4016010</v>
      </c>
      <c r="B275" s="46" t="s">
        <v>55</v>
      </c>
      <c r="C275" s="46" t="s">
        <v>124</v>
      </c>
      <c r="D275" s="82" t="s">
        <v>79</v>
      </c>
      <c r="E275" s="50">
        <f t="shared" si="61"/>
        <v>0</v>
      </c>
      <c r="F275" s="67"/>
      <c r="G275" s="67"/>
      <c r="H275" s="67"/>
      <c r="I275" s="67"/>
      <c r="J275" s="50">
        <f t="shared" ref="J275:J299" si="64">L275+O275</f>
        <v>0</v>
      </c>
      <c r="K275" s="67"/>
      <c r="L275" s="67"/>
      <c r="M275" s="67"/>
      <c r="N275" s="67"/>
      <c r="O275" s="67">
        <f t="shared" si="62"/>
        <v>0</v>
      </c>
      <c r="P275" s="66">
        <f t="shared" si="63"/>
        <v>0</v>
      </c>
      <c r="Q275" s="19"/>
      <c r="R275" s="19"/>
      <c r="S275" s="19"/>
      <c r="T275" s="19"/>
      <c r="U275" s="19"/>
    </row>
    <row r="276" spans="1:21" hidden="1" x14ac:dyDescent="0.2">
      <c r="A276" s="38" t="s">
        <v>314</v>
      </c>
      <c r="B276" s="46" t="s">
        <v>55</v>
      </c>
      <c r="C276" s="46"/>
      <c r="D276" s="106" t="s">
        <v>313</v>
      </c>
      <c r="E276" s="50">
        <f t="shared" si="61"/>
        <v>0</v>
      </c>
      <c r="F276" s="50"/>
      <c r="G276" s="50"/>
      <c r="H276" s="50"/>
      <c r="I276" s="50">
        <f>I277+I280+I281+I279+I282</f>
        <v>0</v>
      </c>
      <c r="J276" s="50">
        <f t="shared" si="64"/>
        <v>0</v>
      </c>
      <c r="K276" s="50"/>
      <c r="L276" s="50">
        <f>L277+L280+L281+L279+L282</f>
        <v>0</v>
      </c>
      <c r="M276" s="50">
        <f>M277+M280+M281+M279+M282</f>
        <v>0</v>
      </c>
      <c r="N276" s="50">
        <f>N277+N280+N281+N279+N282</f>
        <v>0</v>
      </c>
      <c r="O276" s="67">
        <f t="shared" si="62"/>
        <v>0</v>
      </c>
      <c r="P276" s="66">
        <f t="shared" si="63"/>
        <v>0</v>
      </c>
      <c r="Q276" s="19"/>
      <c r="R276" s="19"/>
      <c r="S276" s="19"/>
      <c r="T276" s="19"/>
      <c r="U276" s="19"/>
    </row>
    <row r="277" spans="1:21" s="10" customFormat="1" hidden="1" x14ac:dyDescent="0.2">
      <c r="A277" s="37" t="s">
        <v>317</v>
      </c>
      <c r="B277" s="21" t="s">
        <v>316</v>
      </c>
      <c r="C277" s="21" t="s">
        <v>124</v>
      </c>
      <c r="D277" s="23" t="s">
        <v>315</v>
      </c>
      <c r="E277" s="47">
        <f t="shared" si="61"/>
        <v>0</v>
      </c>
      <c r="F277" s="49"/>
      <c r="G277" s="49"/>
      <c r="H277" s="49"/>
      <c r="I277" s="49"/>
      <c r="J277" s="50">
        <f t="shared" si="64"/>
        <v>0</v>
      </c>
      <c r="K277" s="49"/>
      <c r="L277" s="49"/>
      <c r="M277" s="49"/>
      <c r="N277" s="49"/>
      <c r="O277" s="67">
        <f t="shared" si="62"/>
        <v>0</v>
      </c>
      <c r="P277" s="66">
        <f t="shared" si="63"/>
        <v>0</v>
      </c>
      <c r="Q277" s="8"/>
      <c r="R277" s="8"/>
      <c r="S277" s="8"/>
      <c r="T277" s="8"/>
      <c r="U277" s="8"/>
    </row>
    <row r="278" spans="1:21" s="10" customFormat="1" hidden="1" x14ac:dyDescent="0.2">
      <c r="A278" s="37"/>
      <c r="B278" s="21"/>
      <c r="C278" s="21"/>
      <c r="D278" s="78" t="s">
        <v>510</v>
      </c>
      <c r="E278" s="47"/>
      <c r="F278" s="49"/>
      <c r="G278" s="49"/>
      <c r="H278" s="49"/>
      <c r="I278" s="49"/>
      <c r="J278" s="50">
        <f t="shared" si="64"/>
        <v>0</v>
      </c>
      <c r="K278" s="49"/>
      <c r="L278" s="49"/>
      <c r="M278" s="49"/>
      <c r="N278" s="49"/>
      <c r="O278" s="67">
        <f t="shared" si="62"/>
        <v>0</v>
      </c>
      <c r="P278" s="66">
        <f t="shared" si="63"/>
        <v>0</v>
      </c>
      <c r="Q278" s="8"/>
      <c r="R278" s="8"/>
      <c r="S278" s="8"/>
      <c r="T278" s="8"/>
      <c r="U278" s="8"/>
    </row>
    <row r="279" spans="1:21" x14ac:dyDescent="0.2">
      <c r="A279" s="38" t="s">
        <v>489</v>
      </c>
      <c r="B279" s="46" t="s">
        <v>490</v>
      </c>
      <c r="C279" s="46" t="s">
        <v>71</v>
      </c>
      <c r="D279" s="75" t="s">
        <v>491</v>
      </c>
      <c r="E279" s="50">
        <f t="shared" si="61"/>
        <v>0</v>
      </c>
      <c r="F279" s="67"/>
      <c r="G279" s="67"/>
      <c r="H279" s="67"/>
      <c r="I279" s="67"/>
      <c r="J279" s="50">
        <f t="shared" si="64"/>
        <v>185000</v>
      </c>
      <c r="K279" s="67">
        <v>185000</v>
      </c>
      <c r="L279" s="67"/>
      <c r="M279" s="67"/>
      <c r="N279" s="67"/>
      <c r="O279" s="67">
        <f t="shared" si="62"/>
        <v>185000</v>
      </c>
      <c r="P279" s="66">
        <f t="shared" si="63"/>
        <v>185000</v>
      </c>
      <c r="Q279" s="19"/>
      <c r="R279" s="19"/>
      <c r="S279" s="19"/>
      <c r="T279" s="19"/>
      <c r="U279" s="19"/>
    </row>
    <row r="280" spans="1:21" s="10" customFormat="1" hidden="1" x14ac:dyDescent="0.2">
      <c r="A280" s="37" t="s">
        <v>319</v>
      </c>
      <c r="B280" s="21" t="s">
        <v>318</v>
      </c>
      <c r="C280" s="21" t="s">
        <v>71</v>
      </c>
      <c r="D280" s="23" t="s">
        <v>320</v>
      </c>
      <c r="E280" s="47">
        <f t="shared" si="61"/>
        <v>0</v>
      </c>
      <c r="F280" s="49"/>
      <c r="G280" s="49"/>
      <c r="H280" s="49"/>
      <c r="I280" s="49"/>
      <c r="J280" s="50">
        <f t="shared" si="64"/>
        <v>0</v>
      </c>
      <c r="K280" s="49"/>
      <c r="L280" s="49"/>
      <c r="M280" s="49"/>
      <c r="N280" s="49"/>
      <c r="O280" s="67">
        <f t="shared" si="62"/>
        <v>0</v>
      </c>
      <c r="P280" s="66">
        <f t="shared" si="63"/>
        <v>0</v>
      </c>
      <c r="Q280" s="8"/>
      <c r="R280" s="8"/>
      <c r="S280" s="8"/>
      <c r="T280" s="8"/>
      <c r="U280" s="8"/>
    </row>
    <row r="281" spans="1:21" s="10" customFormat="1" ht="25.5" hidden="1" x14ac:dyDescent="0.2">
      <c r="A281" s="37" t="s">
        <v>324</v>
      </c>
      <c r="B281" s="21" t="s">
        <v>325</v>
      </c>
      <c r="C281" s="21" t="s">
        <v>71</v>
      </c>
      <c r="D281" s="23" t="s">
        <v>165</v>
      </c>
      <c r="E281" s="47">
        <f t="shared" si="61"/>
        <v>0</v>
      </c>
      <c r="F281" s="49"/>
      <c r="G281" s="49"/>
      <c r="H281" s="49"/>
      <c r="I281" s="49"/>
      <c r="J281" s="50">
        <f t="shared" si="64"/>
        <v>0</v>
      </c>
      <c r="K281" s="49"/>
      <c r="L281" s="49"/>
      <c r="M281" s="49"/>
      <c r="N281" s="49"/>
      <c r="O281" s="67">
        <f t="shared" si="62"/>
        <v>0</v>
      </c>
      <c r="P281" s="66">
        <f t="shared" si="63"/>
        <v>0</v>
      </c>
      <c r="Q281" s="8"/>
      <c r="R281" s="8"/>
      <c r="S281" s="8"/>
      <c r="T281" s="8"/>
      <c r="U281" s="8"/>
    </row>
    <row r="282" spans="1:21" ht="25.5" x14ac:dyDescent="0.2">
      <c r="A282" s="38" t="s">
        <v>376</v>
      </c>
      <c r="B282" s="46" t="s">
        <v>374</v>
      </c>
      <c r="C282" s="46" t="s">
        <v>71</v>
      </c>
      <c r="D282" s="75" t="s">
        <v>375</v>
      </c>
      <c r="E282" s="50">
        <f t="shared" si="61"/>
        <v>0</v>
      </c>
      <c r="F282" s="67"/>
      <c r="G282" s="67"/>
      <c r="H282" s="67"/>
      <c r="I282" s="67"/>
      <c r="J282" s="50">
        <f t="shared" si="64"/>
        <v>425000</v>
      </c>
      <c r="K282" s="67">
        <f>O282</f>
        <v>425000</v>
      </c>
      <c r="L282" s="67"/>
      <c r="M282" s="67"/>
      <c r="N282" s="67"/>
      <c r="O282" s="67">
        <f>1225000+177000-177000-800000</f>
        <v>425000</v>
      </c>
      <c r="P282" s="66">
        <f t="shared" si="63"/>
        <v>425000</v>
      </c>
      <c r="Q282" s="19"/>
      <c r="R282" s="19"/>
      <c r="S282" s="19"/>
      <c r="T282" s="19"/>
      <c r="U282" s="19"/>
    </row>
    <row r="283" spans="1:21" ht="29.25" hidden="1" customHeight="1" x14ac:dyDescent="0.2">
      <c r="A283" s="38" t="s">
        <v>329</v>
      </c>
      <c r="B283" s="155">
        <v>6020</v>
      </c>
      <c r="C283" s="46" t="s">
        <v>71</v>
      </c>
      <c r="D283" s="55" t="s">
        <v>328</v>
      </c>
      <c r="E283" s="47">
        <f t="shared" si="61"/>
        <v>0</v>
      </c>
      <c r="F283" s="67"/>
      <c r="G283" s="67"/>
      <c r="H283" s="67"/>
      <c r="I283" s="67"/>
      <c r="J283" s="50">
        <f t="shared" si="64"/>
        <v>0</v>
      </c>
      <c r="K283" s="67"/>
      <c r="L283" s="67"/>
      <c r="M283" s="67"/>
      <c r="N283" s="67"/>
      <c r="O283" s="67">
        <f>K283</f>
        <v>0</v>
      </c>
      <c r="P283" s="66">
        <f>E283+J283</f>
        <v>0</v>
      </c>
      <c r="Q283" s="19"/>
      <c r="R283" s="19"/>
      <c r="S283" s="19"/>
      <c r="T283" s="19"/>
      <c r="U283" s="19"/>
    </row>
    <row r="284" spans="1:21" s="10" customFormat="1" hidden="1" x14ac:dyDescent="0.2">
      <c r="A284" s="37"/>
      <c r="B284" s="156"/>
      <c r="C284" s="21"/>
      <c r="D284" s="78" t="s">
        <v>510</v>
      </c>
      <c r="E284" s="47">
        <f t="shared" si="61"/>
        <v>0</v>
      </c>
      <c r="F284" s="49"/>
      <c r="G284" s="49"/>
      <c r="H284" s="49"/>
      <c r="I284" s="49"/>
      <c r="J284" s="47">
        <f t="shared" si="64"/>
        <v>0</v>
      </c>
      <c r="K284" s="49"/>
      <c r="L284" s="49"/>
      <c r="M284" s="49"/>
      <c r="N284" s="49"/>
      <c r="O284" s="49">
        <f>K284</f>
        <v>0</v>
      </c>
      <c r="P284" s="80">
        <f>E284+J284</f>
        <v>0</v>
      </c>
      <c r="Q284" s="8"/>
      <c r="R284" s="8"/>
      <c r="S284" s="8"/>
      <c r="T284" s="8"/>
      <c r="U284" s="8"/>
    </row>
    <row r="285" spans="1:21" ht="25.5" hidden="1" x14ac:dyDescent="0.2">
      <c r="A285" s="38" t="s">
        <v>329</v>
      </c>
      <c r="B285" s="155">
        <v>6020</v>
      </c>
      <c r="C285" s="46" t="s">
        <v>71</v>
      </c>
      <c r="D285" s="78" t="s">
        <v>328</v>
      </c>
      <c r="E285" s="47">
        <f t="shared" si="61"/>
        <v>0</v>
      </c>
      <c r="F285" s="67"/>
      <c r="G285" s="67"/>
      <c r="H285" s="67"/>
      <c r="I285" s="67"/>
      <c r="J285" s="50">
        <f t="shared" si="64"/>
        <v>0</v>
      </c>
      <c r="K285" s="67"/>
      <c r="L285" s="67"/>
      <c r="M285" s="67"/>
      <c r="N285" s="67"/>
      <c r="O285" s="67">
        <f>K285</f>
        <v>0</v>
      </c>
      <c r="P285" s="66">
        <f>E285+J285</f>
        <v>0</v>
      </c>
      <c r="Q285" s="19"/>
      <c r="R285" s="19"/>
      <c r="S285" s="19"/>
      <c r="T285" s="19"/>
      <c r="U285" s="19"/>
    </row>
    <row r="286" spans="1:21" ht="15" customHeight="1" x14ac:dyDescent="0.2">
      <c r="A286" s="38" t="s">
        <v>323</v>
      </c>
      <c r="B286" s="46" t="s">
        <v>322</v>
      </c>
      <c r="C286" s="46" t="s">
        <v>71</v>
      </c>
      <c r="D286" s="75" t="s">
        <v>321</v>
      </c>
      <c r="E286" s="50">
        <f t="shared" si="61"/>
        <v>91858422</v>
      </c>
      <c r="F286" s="107">
        <f>93452485-82470-117530-1600000+500000-120000-124063-50000</f>
        <v>91858422</v>
      </c>
      <c r="G286" s="107"/>
      <c r="H286" s="107">
        <f>13886200-40000-1850000-1600000</f>
        <v>10396200</v>
      </c>
      <c r="I286" s="108"/>
      <c r="J286" s="50">
        <f t="shared" si="64"/>
        <v>2294578</v>
      </c>
      <c r="K286" s="108">
        <f>2050515+124063</f>
        <v>2174578</v>
      </c>
      <c r="L286" s="108">
        <v>120000</v>
      </c>
      <c r="M286" s="108"/>
      <c r="N286" s="108"/>
      <c r="O286" s="108">
        <f>K286</f>
        <v>2174578</v>
      </c>
      <c r="P286" s="66">
        <f t="shared" si="63"/>
        <v>94153000</v>
      </c>
      <c r="Q286" s="19"/>
      <c r="R286" s="19"/>
      <c r="S286" s="19"/>
      <c r="T286" s="19"/>
      <c r="U286" s="19"/>
    </row>
    <row r="287" spans="1:21" ht="29.25" hidden="1" customHeight="1" x14ac:dyDescent="0.2">
      <c r="A287" s="38">
        <v>4016100</v>
      </c>
      <c r="B287" s="89" t="s">
        <v>164</v>
      </c>
      <c r="C287" s="89" t="s">
        <v>71</v>
      </c>
      <c r="D287" s="16" t="s">
        <v>165</v>
      </c>
      <c r="E287" s="50">
        <f t="shared" si="61"/>
        <v>0</v>
      </c>
      <c r="F287" s="67"/>
      <c r="G287" s="67"/>
      <c r="H287" s="67"/>
      <c r="I287" s="67"/>
      <c r="J287" s="50">
        <f t="shared" si="64"/>
        <v>0</v>
      </c>
      <c r="K287" s="67"/>
      <c r="L287" s="67"/>
      <c r="M287" s="67"/>
      <c r="N287" s="67"/>
      <c r="O287" s="67">
        <f>K287</f>
        <v>0</v>
      </c>
      <c r="P287" s="66">
        <f t="shared" si="63"/>
        <v>0</v>
      </c>
      <c r="Q287" s="19"/>
      <c r="R287" s="19"/>
      <c r="S287" s="19"/>
      <c r="T287" s="19"/>
      <c r="U287" s="19"/>
    </row>
    <row r="288" spans="1:21" hidden="1" x14ac:dyDescent="0.2">
      <c r="A288" s="38"/>
      <c r="B288" s="89"/>
      <c r="C288" s="89"/>
      <c r="D288" s="78" t="s">
        <v>510</v>
      </c>
      <c r="E288" s="47">
        <f t="shared" si="61"/>
        <v>0</v>
      </c>
      <c r="F288" s="49"/>
      <c r="G288" s="67"/>
      <c r="H288" s="67"/>
      <c r="I288" s="67"/>
      <c r="J288" s="50"/>
      <c r="K288" s="67"/>
      <c r="L288" s="67"/>
      <c r="M288" s="67"/>
      <c r="N288" s="67"/>
      <c r="O288" s="67"/>
      <c r="P288" s="80">
        <f t="shared" si="63"/>
        <v>0</v>
      </c>
      <c r="Q288" s="19"/>
      <c r="R288" s="19"/>
      <c r="S288" s="19"/>
      <c r="T288" s="19"/>
      <c r="U288" s="19"/>
    </row>
    <row r="289" spans="1:21" ht="15.75" x14ac:dyDescent="0.25">
      <c r="A289" s="38" t="s">
        <v>327</v>
      </c>
      <c r="B289" s="89" t="s">
        <v>326</v>
      </c>
      <c r="C289" s="89" t="s">
        <v>71</v>
      </c>
      <c r="D289" s="17" t="s">
        <v>171</v>
      </c>
      <c r="E289" s="50">
        <f t="shared" si="61"/>
        <v>725000</v>
      </c>
      <c r="F289" s="67">
        <v>725000</v>
      </c>
      <c r="G289" s="67"/>
      <c r="H289" s="67"/>
      <c r="I289" s="67"/>
      <c r="J289" s="50">
        <f t="shared" si="64"/>
        <v>40000</v>
      </c>
      <c r="K289" s="67">
        <v>40000</v>
      </c>
      <c r="L289" s="67"/>
      <c r="M289" s="67"/>
      <c r="N289" s="67"/>
      <c r="O289" s="67">
        <f t="shared" si="62"/>
        <v>40000</v>
      </c>
      <c r="P289" s="66">
        <f t="shared" si="63"/>
        <v>765000</v>
      </c>
      <c r="Q289" s="19"/>
      <c r="R289" s="19"/>
      <c r="S289" s="19"/>
      <c r="T289" s="19"/>
      <c r="U289" s="19"/>
    </row>
    <row r="290" spans="1:21" hidden="1" x14ac:dyDescent="0.2">
      <c r="A290" s="38" t="s">
        <v>332</v>
      </c>
      <c r="B290" s="155">
        <v>6070</v>
      </c>
      <c r="C290" s="46"/>
      <c r="D290" s="16" t="s">
        <v>330</v>
      </c>
      <c r="E290" s="50">
        <f>F290+I290</f>
        <v>0</v>
      </c>
      <c r="F290" s="51"/>
      <c r="G290" s="51"/>
      <c r="H290" s="51"/>
      <c r="I290" s="51">
        <f>I291</f>
        <v>0</v>
      </c>
      <c r="J290" s="50">
        <f t="shared" si="64"/>
        <v>0</v>
      </c>
      <c r="K290" s="51"/>
      <c r="L290" s="51">
        <f>L291</f>
        <v>0</v>
      </c>
      <c r="M290" s="51">
        <f>M291</f>
        <v>0</v>
      </c>
      <c r="N290" s="51">
        <f>N291</f>
        <v>0</v>
      </c>
      <c r="O290" s="67">
        <f t="shared" si="62"/>
        <v>0</v>
      </c>
      <c r="P290" s="66">
        <f t="shared" si="63"/>
        <v>0</v>
      </c>
      <c r="Q290" s="19"/>
      <c r="R290" s="19"/>
      <c r="S290" s="19"/>
      <c r="T290" s="19"/>
      <c r="U290" s="19"/>
    </row>
    <row r="291" spans="1:21" s="10" customFormat="1" ht="114.75" hidden="1" x14ac:dyDescent="0.2">
      <c r="A291" s="37" t="s">
        <v>333</v>
      </c>
      <c r="B291" s="156">
        <v>6072</v>
      </c>
      <c r="C291" s="21" t="s">
        <v>166</v>
      </c>
      <c r="D291" s="53" t="s">
        <v>331</v>
      </c>
      <c r="E291" s="47">
        <f>F291+I291</f>
        <v>0</v>
      </c>
      <c r="F291" s="83"/>
      <c r="G291" s="83"/>
      <c r="H291" s="83"/>
      <c r="I291" s="83"/>
      <c r="J291" s="50">
        <f t="shared" si="64"/>
        <v>0</v>
      </c>
      <c r="K291" s="49"/>
      <c r="L291" s="83"/>
      <c r="M291" s="83"/>
      <c r="N291" s="83"/>
      <c r="O291" s="67">
        <f t="shared" si="62"/>
        <v>0</v>
      </c>
      <c r="P291" s="80"/>
      <c r="Q291" s="8"/>
      <c r="R291" s="8"/>
      <c r="S291" s="8"/>
      <c r="T291" s="8"/>
      <c r="U291" s="8"/>
    </row>
    <row r="292" spans="1:21" x14ac:dyDescent="0.2">
      <c r="A292" s="38" t="s">
        <v>351</v>
      </c>
      <c r="B292" s="89" t="s">
        <v>350</v>
      </c>
      <c r="C292" s="89" t="s">
        <v>166</v>
      </c>
      <c r="D292" s="55" t="s">
        <v>349</v>
      </c>
      <c r="E292" s="50">
        <f t="shared" si="61"/>
        <v>0</v>
      </c>
      <c r="F292" s="67"/>
      <c r="G292" s="67"/>
      <c r="H292" s="67"/>
      <c r="I292" s="67"/>
      <c r="J292" s="50">
        <f t="shared" si="64"/>
        <v>500000</v>
      </c>
      <c r="K292" s="67">
        <v>500000</v>
      </c>
      <c r="L292" s="67"/>
      <c r="M292" s="67"/>
      <c r="N292" s="67"/>
      <c r="O292" s="67">
        <f t="shared" si="62"/>
        <v>500000</v>
      </c>
      <c r="P292" s="66">
        <f t="shared" ref="P292:P313" si="65">E292+J292</f>
        <v>500000</v>
      </c>
      <c r="Q292" s="19"/>
      <c r="R292" s="19"/>
      <c r="S292" s="19"/>
      <c r="T292" s="19"/>
      <c r="U292" s="19"/>
    </row>
    <row r="293" spans="1:21" x14ac:dyDescent="0.2">
      <c r="A293" s="38" t="s">
        <v>628</v>
      </c>
      <c r="B293" s="89" t="s">
        <v>383</v>
      </c>
      <c r="C293" s="25" t="s">
        <v>384</v>
      </c>
      <c r="D293" s="76" t="s">
        <v>382</v>
      </c>
      <c r="E293" s="50"/>
      <c r="F293" s="67"/>
      <c r="G293" s="67"/>
      <c r="H293" s="67"/>
      <c r="I293" s="67"/>
      <c r="J293" s="50">
        <f t="shared" si="64"/>
        <v>500000</v>
      </c>
      <c r="K293" s="67">
        <v>500000</v>
      </c>
      <c r="L293" s="67"/>
      <c r="M293" s="67"/>
      <c r="N293" s="67"/>
      <c r="O293" s="67">
        <f>K293</f>
        <v>500000</v>
      </c>
      <c r="P293" s="66">
        <f t="shared" si="65"/>
        <v>500000</v>
      </c>
      <c r="Q293" s="19"/>
      <c r="R293" s="19"/>
      <c r="S293" s="19"/>
      <c r="T293" s="19"/>
      <c r="U293" s="19"/>
    </row>
    <row r="294" spans="1:21" hidden="1" x14ac:dyDescent="0.2">
      <c r="A294" s="38" t="s">
        <v>336</v>
      </c>
      <c r="B294" s="74" t="s">
        <v>335</v>
      </c>
      <c r="C294" s="46"/>
      <c r="D294" s="75" t="s">
        <v>334</v>
      </c>
      <c r="E294" s="50">
        <f t="shared" si="61"/>
        <v>0</v>
      </c>
      <c r="F294" s="67"/>
      <c r="G294" s="67"/>
      <c r="H294" s="67"/>
      <c r="I294" s="67">
        <f>I295+I296+I298</f>
        <v>0</v>
      </c>
      <c r="J294" s="50">
        <f t="shared" si="64"/>
        <v>0</v>
      </c>
      <c r="K294" s="67"/>
      <c r="L294" s="67">
        <f>L295+L296+L298</f>
        <v>0</v>
      </c>
      <c r="M294" s="67">
        <f>M295+M296+M298</f>
        <v>0</v>
      </c>
      <c r="N294" s="67">
        <f>N295+N296+N298</f>
        <v>0</v>
      </c>
      <c r="O294" s="67">
        <f t="shared" si="62"/>
        <v>0</v>
      </c>
      <c r="P294" s="66">
        <f t="shared" si="65"/>
        <v>0</v>
      </c>
      <c r="Q294" s="19"/>
      <c r="R294" s="19"/>
      <c r="S294" s="19"/>
      <c r="T294" s="19"/>
      <c r="U294" s="19"/>
    </row>
    <row r="295" spans="1:21" ht="25.5" x14ac:dyDescent="0.2">
      <c r="A295" s="38" t="s">
        <v>339</v>
      </c>
      <c r="B295" s="143" t="s">
        <v>338</v>
      </c>
      <c r="C295" s="46" t="s">
        <v>72</v>
      </c>
      <c r="D295" s="75" t="s">
        <v>337</v>
      </c>
      <c r="E295" s="50">
        <f t="shared" si="61"/>
        <v>40050000</v>
      </c>
      <c r="F295" s="67">
        <f>40000000+50000</f>
        <v>40050000</v>
      </c>
      <c r="G295" s="67"/>
      <c r="H295" s="67"/>
      <c r="I295" s="67"/>
      <c r="J295" s="50">
        <f t="shared" si="64"/>
        <v>0</v>
      </c>
      <c r="K295" s="67"/>
      <c r="L295" s="67"/>
      <c r="M295" s="67"/>
      <c r="N295" s="67"/>
      <c r="O295" s="67">
        <f t="shared" si="62"/>
        <v>0</v>
      </c>
      <c r="P295" s="66">
        <f t="shared" si="65"/>
        <v>40050000</v>
      </c>
      <c r="Q295" s="19"/>
      <c r="R295" s="19"/>
      <c r="S295" s="19"/>
      <c r="T295" s="19"/>
      <c r="U295" s="19"/>
    </row>
    <row r="296" spans="1:21" s="10" customFormat="1" ht="25.5" hidden="1" x14ac:dyDescent="0.2">
      <c r="A296" s="37" t="s">
        <v>342</v>
      </c>
      <c r="B296" s="141" t="s">
        <v>341</v>
      </c>
      <c r="C296" s="24" t="s">
        <v>72</v>
      </c>
      <c r="D296" s="41" t="s">
        <v>340</v>
      </c>
      <c r="E296" s="47">
        <f t="shared" si="61"/>
        <v>0</v>
      </c>
      <c r="F296" s="49"/>
      <c r="G296" s="49"/>
      <c r="H296" s="49"/>
      <c r="I296" s="49"/>
      <c r="J296" s="50">
        <f t="shared" si="64"/>
        <v>0</v>
      </c>
      <c r="K296" s="49"/>
      <c r="L296" s="49"/>
      <c r="M296" s="49"/>
      <c r="N296" s="49"/>
      <c r="O296" s="67">
        <f t="shared" si="62"/>
        <v>0</v>
      </c>
      <c r="P296" s="66">
        <f t="shared" si="65"/>
        <v>0</v>
      </c>
      <c r="Q296" s="8"/>
      <c r="R296" s="8"/>
      <c r="S296" s="8"/>
      <c r="T296" s="8"/>
      <c r="U296" s="8"/>
    </row>
    <row r="297" spans="1:21" s="10" customFormat="1" hidden="1" x14ac:dyDescent="0.2">
      <c r="A297" s="37"/>
      <c r="B297" s="141"/>
      <c r="C297" s="24"/>
      <c r="D297" s="78" t="s">
        <v>510</v>
      </c>
      <c r="E297" s="47">
        <f t="shared" si="61"/>
        <v>0</v>
      </c>
      <c r="F297" s="49"/>
      <c r="G297" s="49"/>
      <c r="H297" s="49"/>
      <c r="I297" s="49"/>
      <c r="J297" s="50"/>
      <c r="K297" s="49"/>
      <c r="L297" s="49"/>
      <c r="M297" s="49"/>
      <c r="N297" s="49"/>
      <c r="O297" s="67"/>
      <c r="P297" s="66">
        <f t="shared" si="65"/>
        <v>0</v>
      </c>
      <c r="Q297" s="8"/>
      <c r="R297" s="8"/>
      <c r="S297" s="8"/>
      <c r="T297" s="8"/>
      <c r="U297" s="8"/>
    </row>
    <row r="298" spans="1:21" s="10" customFormat="1" ht="25.5" hidden="1" customHeight="1" x14ac:dyDescent="0.2">
      <c r="A298" s="37" t="s">
        <v>345</v>
      </c>
      <c r="B298" s="141" t="s">
        <v>344</v>
      </c>
      <c r="C298" s="24" t="s">
        <v>72</v>
      </c>
      <c r="D298" s="41" t="s">
        <v>343</v>
      </c>
      <c r="E298" s="47">
        <f t="shared" si="61"/>
        <v>0</v>
      </c>
      <c r="F298" s="49"/>
      <c r="G298" s="49"/>
      <c r="H298" s="49"/>
      <c r="I298" s="49"/>
      <c r="J298" s="50">
        <f t="shared" si="64"/>
        <v>0</v>
      </c>
      <c r="K298" s="49"/>
      <c r="L298" s="49"/>
      <c r="M298" s="49"/>
      <c r="N298" s="49"/>
      <c r="O298" s="67">
        <f t="shared" si="62"/>
        <v>0</v>
      </c>
      <c r="P298" s="80">
        <f t="shared" si="65"/>
        <v>0</v>
      </c>
      <c r="Q298" s="8"/>
      <c r="R298" s="8"/>
      <c r="S298" s="8"/>
      <c r="T298" s="8"/>
      <c r="U298" s="8"/>
    </row>
    <row r="299" spans="1:21" x14ac:dyDescent="0.2">
      <c r="A299" s="38" t="s">
        <v>346</v>
      </c>
      <c r="B299" s="72" t="s">
        <v>184</v>
      </c>
      <c r="C299" s="46" t="s">
        <v>128</v>
      </c>
      <c r="D299" s="73" t="s">
        <v>82</v>
      </c>
      <c r="E299" s="50"/>
      <c r="F299" s="108"/>
      <c r="G299" s="108"/>
      <c r="H299" s="108"/>
      <c r="I299" s="108"/>
      <c r="J299" s="50">
        <f t="shared" si="64"/>
        <v>127000</v>
      </c>
      <c r="K299" s="108">
        <v>127000</v>
      </c>
      <c r="L299" s="108"/>
      <c r="M299" s="108"/>
      <c r="N299" s="108"/>
      <c r="O299" s="67">
        <f t="shared" si="62"/>
        <v>127000</v>
      </c>
      <c r="P299" s="66">
        <f t="shared" si="65"/>
        <v>127000</v>
      </c>
      <c r="Q299" s="19"/>
      <c r="R299" s="19"/>
      <c r="S299" s="19"/>
      <c r="T299" s="19"/>
      <c r="U299" s="19"/>
    </row>
    <row r="300" spans="1:21" hidden="1" x14ac:dyDescent="0.2">
      <c r="A300" s="38" t="s">
        <v>348</v>
      </c>
      <c r="B300" s="74" t="s">
        <v>183</v>
      </c>
      <c r="C300" s="46" t="s">
        <v>127</v>
      </c>
      <c r="D300" s="75" t="s">
        <v>347</v>
      </c>
      <c r="E300" s="50"/>
      <c r="F300" s="67"/>
      <c r="G300" s="67"/>
      <c r="H300" s="67"/>
      <c r="I300" s="67"/>
      <c r="J300" s="50">
        <f>L300+O300</f>
        <v>0</v>
      </c>
      <c r="K300" s="67"/>
      <c r="L300" s="67"/>
      <c r="M300" s="67"/>
      <c r="N300" s="67"/>
      <c r="O300" s="67">
        <f t="shared" si="62"/>
        <v>0</v>
      </c>
      <c r="P300" s="66">
        <f t="shared" si="65"/>
        <v>0</v>
      </c>
      <c r="Q300" s="19"/>
      <c r="R300" s="19"/>
      <c r="S300" s="19"/>
      <c r="T300" s="19"/>
      <c r="U300" s="19"/>
    </row>
    <row r="301" spans="1:21" hidden="1" x14ac:dyDescent="0.2">
      <c r="A301" s="38" t="s">
        <v>351</v>
      </c>
      <c r="B301" s="74" t="s">
        <v>350</v>
      </c>
      <c r="C301" s="46" t="s">
        <v>166</v>
      </c>
      <c r="D301" s="26" t="s">
        <v>349</v>
      </c>
      <c r="E301" s="50"/>
      <c r="F301" s="108"/>
      <c r="G301" s="108"/>
      <c r="H301" s="108"/>
      <c r="I301" s="108"/>
      <c r="J301" s="50">
        <f>L301+O301</f>
        <v>0</v>
      </c>
      <c r="K301" s="108"/>
      <c r="L301" s="108"/>
      <c r="M301" s="108"/>
      <c r="N301" s="108"/>
      <c r="O301" s="67">
        <f t="shared" si="62"/>
        <v>0</v>
      </c>
      <c r="P301" s="66">
        <f t="shared" si="65"/>
        <v>0</v>
      </c>
      <c r="Q301" s="19"/>
      <c r="R301" s="19"/>
      <c r="S301" s="19"/>
      <c r="T301" s="19"/>
      <c r="U301" s="19"/>
    </row>
    <row r="302" spans="1:21" x14ac:dyDescent="0.2">
      <c r="A302" s="38" t="s">
        <v>348</v>
      </c>
      <c r="B302" s="46" t="s">
        <v>183</v>
      </c>
      <c r="C302" s="46" t="s">
        <v>127</v>
      </c>
      <c r="D302" s="27" t="s">
        <v>347</v>
      </c>
      <c r="E302" s="50">
        <f>F302+I302</f>
        <v>0</v>
      </c>
      <c r="F302" s="71"/>
      <c r="G302" s="71"/>
      <c r="H302" s="71"/>
      <c r="I302" s="71"/>
      <c r="J302" s="50">
        <f>L302+O302</f>
        <v>5180000</v>
      </c>
      <c r="K302" s="71">
        <f>4030000-150000+200000+1100000</f>
        <v>5180000</v>
      </c>
      <c r="L302" s="71"/>
      <c r="M302" s="71"/>
      <c r="N302" s="71"/>
      <c r="O302" s="67">
        <f t="shared" si="62"/>
        <v>5180000</v>
      </c>
      <c r="P302" s="66">
        <f t="shared" si="65"/>
        <v>5180000</v>
      </c>
      <c r="Q302" s="19"/>
      <c r="R302" s="19"/>
      <c r="S302" s="19"/>
      <c r="T302" s="19"/>
      <c r="U302" s="19"/>
    </row>
    <row r="303" spans="1:21" hidden="1" x14ac:dyDescent="0.2">
      <c r="A303" s="38" t="s">
        <v>591</v>
      </c>
      <c r="B303" s="46" t="s">
        <v>192</v>
      </c>
      <c r="C303" s="21" t="s">
        <v>127</v>
      </c>
      <c r="D303" s="28" t="s">
        <v>193</v>
      </c>
      <c r="E303" s="50">
        <f>F303+I303</f>
        <v>0</v>
      </c>
      <c r="F303" s="71"/>
      <c r="G303" s="71"/>
      <c r="H303" s="71"/>
      <c r="I303" s="71"/>
      <c r="J303" s="50">
        <f>L303+O303</f>
        <v>0</v>
      </c>
      <c r="K303" s="71"/>
      <c r="L303" s="71"/>
      <c r="M303" s="71"/>
      <c r="N303" s="71"/>
      <c r="O303" s="67"/>
      <c r="P303" s="66">
        <f t="shared" si="65"/>
        <v>0</v>
      </c>
      <c r="Q303" s="19"/>
      <c r="R303" s="19"/>
      <c r="S303" s="19"/>
      <c r="T303" s="19"/>
      <c r="U303" s="19"/>
    </row>
    <row r="304" spans="1:21" ht="25.5" x14ac:dyDescent="0.2">
      <c r="A304" s="38" t="s">
        <v>597</v>
      </c>
      <c r="B304" s="46" t="s">
        <v>186</v>
      </c>
      <c r="C304" s="46" t="s">
        <v>130</v>
      </c>
      <c r="D304" s="32" t="s">
        <v>412</v>
      </c>
      <c r="E304" s="50">
        <f>F304+I304</f>
        <v>260000</v>
      </c>
      <c r="F304" s="71">
        <v>260000</v>
      </c>
      <c r="G304" s="71"/>
      <c r="H304" s="71"/>
      <c r="I304" s="71"/>
      <c r="J304" s="50">
        <f>L304+O304</f>
        <v>0</v>
      </c>
      <c r="K304" s="71"/>
      <c r="L304" s="71"/>
      <c r="M304" s="71"/>
      <c r="N304" s="71"/>
      <c r="O304" s="67"/>
      <c r="P304" s="66">
        <f t="shared" si="65"/>
        <v>260000</v>
      </c>
      <c r="Q304" s="19"/>
      <c r="R304" s="19"/>
      <c r="S304" s="19"/>
      <c r="T304" s="19"/>
      <c r="U304" s="19"/>
    </row>
    <row r="305" spans="1:18" s="19" customFormat="1" ht="25.5" x14ac:dyDescent="0.2">
      <c r="A305" s="39">
        <v>1500000</v>
      </c>
      <c r="B305" s="29"/>
      <c r="C305" s="30"/>
      <c r="D305" s="119" t="s">
        <v>74</v>
      </c>
      <c r="E305" s="100">
        <f>E314</f>
        <v>3461000</v>
      </c>
      <c r="F305" s="100">
        <f t="shared" ref="F305:O305" si="66">F314</f>
        <v>3461000</v>
      </c>
      <c r="G305" s="100">
        <f t="shared" si="66"/>
        <v>2356300</v>
      </c>
      <c r="H305" s="100">
        <f t="shared" si="66"/>
        <v>68000</v>
      </c>
      <c r="I305" s="100">
        <f t="shared" si="66"/>
        <v>0</v>
      </c>
      <c r="J305" s="100">
        <f t="shared" si="66"/>
        <v>515967057</v>
      </c>
      <c r="K305" s="100">
        <f>K314</f>
        <v>475967057</v>
      </c>
      <c r="L305" s="100">
        <f t="shared" si="66"/>
        <v>0</v>
      </c>
      <c r="M305" s="100">
        <f t="shared" si="66"/>
        <v>0</v>
      </c>
      <c r="N305" s="100">
        <f t="shared" si="66"/>
        <v>0</v>
      </c>
      <c r="O305" s="100">
        <f t="shared" si="66"/>
        <v>515967057</v>
      </c>
      <c r="P305" s="66">
        <f t="shared" si="65"/>
        <v>519428057</v>
      </c>
      <c r="R305" s="129"/>
    </row>
    <row r="306" spans="1:18" s="8" customFormat="1" hidden="1" x14ac:dyDescent="0.2">
      <c r="A306" s="37"/>
      <c r="B306" s="87"/>
      <c r="C306" s="20"/>
      <c r="D306" s="78" t="s">
        <v>510</v>
      </c>
      <c r="E306" s="83"/>
      <c r="F306" s="83"/>
      <c r="G306" s="83"/>
      <c r="H306" s="83"/>
      <c r="I306" s="83"/>
      <c r="J306" s="83">
        <f>L306+O306</f>
        <v>0</v>
      </c>
      <c r="K306" s="83">
        <f>K323+K335</f>
        <v>0</v>
      </c>
      <c r="L306" s="83"/>
      <c r="M306" s="83"/>
      <c r="N306" s="83"/>
      <c r="O306" s="83">
        <f>K306</f>
        <v>0</v>
      </c>
      <c r="P306" s="80">
        <f t="shared" si="65"/>
        <v>0</v>
      </c>
    </row>
    <row r="307" spans="1:18" s="8" customFormat="1" ht="51" hidden="1" x14ac:dyDescent="0.2">
      <c r="A307" s="37"/>
      <c r="B307" s="87"/>
      <c r="C307" s="20"/>
      <c r="D307" s="23" t="s">
        <v>608</v>
      </c>
      <c r="E307" s="83"/>
      <c r="F307" s="83"/>
      <c r="G307" s="83"/>
      <c r="H307" s="83"/>
      <c r="I307" s="83"/>
      <c r="J307" s="83">
        <f t="shared" ref="J307:O307" si="67">J334</f>
        <v>0</v>
      </c>
      <c r="K307" s="83">
        <f t="shared" si="67"/>
        <v>0</v>
      </c>
      <c r="L307" s="83">
        <f t="shared" si="67"/>
        <v>0</v>
      </c>
      <c r="M307" s="83">
        <f t="shared" si="67"/>
        <v>0</v>
      </c>
      <c r="N307" s="83">
        <f t="shared" si="67"/>
        <v>0</v>
      </c>
      <c r="O307" s="83">
        <f t="shared" si="67"/>
        <v>0</v>
      </c>
      <c r="P307" s="80">
        <f t="shared" si="65"/>
        <v>0</v>
      </c>
    </row>
    <row r="308" spans="1:18" s="8" customFormat="1" ht="38.25" hidden="1" x14ac:dyDescent="0.2">
      <c r="A308" s="37"/>
      <c r="B308" s="87"/>
      <c r="C308" s="20"/>
      <c r="D308" s="53" t="s">
        <v>611</v>
      </c>
      <c r="E308" s="83"/>
      <c r="F308" s="83"/>
      <c r="G308" s="83"/>
      <c r="H308" s="83"/>
      <c r="I308" s="83"/>
      <c r="J308" s="83">
        <f t="shared" ref="J308:O308" si="68">J345</f>
        <v>0</v>
      </c>
      <c r="K308" s="83">
        <f t="shared" si="68"/>
        <v>0</v>
      </c>
      <c r="L308" s="83">
        <f t="shared" si="68"/>
        <v>0</v>
      </c>
      <c r="M308" s="83">
        <f t="shared" si="68"/>
        <v>0</v>
      </c>
      <c r="N308" s="83">
        <f t="shared" si="68"/>
        <v>0</v>
      </c>
      <c r="O308" s="83">
        <f t="shared" si="68"/>
        <v>0</v>
      </c>
      <c r="P308" s="80">
        <f t="shared" si="65"/>
        <v>0</v>
      </c>
    </row>
    <row r="309" spans="1:18" s="8" customFormat="1" ht="38.25" hidden="1" x14ac:dyDescent="0.2">
      <c r="A309" s="37"/>
      <c r="B309" s="87"/>
      <c r="C309" s="20"/>
      <c r="D309" s="23" t="s">
        <v>609</v>
      </c>
      <c r="E309" s="83"/>
      <c r="F309" s="83"/>
      <c r="G309" s="83"/>
      <c r="H309" s="83"/>
      <c r="I309" s="83"/>
      <c r="J309" s="83">
        <f>L309+O309</f>
        <v>0</v>
      </c>
      <c r="K309" s="83">
        <f>K318</f>
        <v>0</v>
      </c>
      <c r="L309" s="83">
        <f>L318</f>
        <v>0</v>
      </c>
      <c r="M309" s="83">
        <f>M318</f>
        <v>0</v>
      </c>
      <c r="N309" s="83">
        <f>N318</f>
        <v>0</v>
      </c>
      <c r="O309" s="83">
        <f>O318</f>
        <v>0</v>
      </c>
      <c r="P309" s="80">
        <f t="shared" si="65"/>
        <v>0</v>
      </c>
    </row>
    <row r="310" spans="1:18" s="8" customFormat="1" ht="25.5" x14ac:dyDescent="0.2">
      <c r="A310" s="37"/>
      <c r="B310" s="87"/>
      <c r="C310" s="20"/>
      <c r="D310" s="40" t="s">
        <v>537</v>
      </c>
      <c r="E310" s="83"/>
      <c r="F310" s="83"/>
      <c r="G310" s="83"/>
      <c r="H310" s="83"/>
      <c r="I310" s="83"/>
      <c r="J310" s="83">
        <f t="shared" ref="J310:O310" si="69">J352</f>
        <v>255816394</v>
      </c>
      <c r="K310" s="83">
        <f t="shared" si="69"/>
        <v>255816394</v>
      </c>
      <c r="L310" s="83">
        <f t="shared" si="69"/>
        <v>0</v>
      </c>
      <c r="M310" s="83">
        <f t="shared" si="69"/>
        <v>0</v>
      </c>
      <c r="N310" s="83">
        <f t="shared" si="69"/>
        <v>0</v>
      </c>
      <c r="O310" s="83">
        <f t="shared" si="69"/>
        <v>255816394</v>
      </c>
      <c r="P310" s="80">
        <f t="shared" si="65"/>
        <v>255816394</v>
      </c>
    </row>
    <row r="311" spans="1:18" s="8" customFormat="1" ht="38.25" x14ac:dyDescent="0.2">
      <c r="A311" s="37"/>
      <c r="B311" s="87"/>
      <c r="C311" s="20"/>
      <c r="D311" s="42" t="s">
        <v>636</v>
      </c>
      <c r="E311" s="83"/>
      <c r="F311" s="83"/>
      <c r="G311" s="83"/>
      <c r="H311" s="83"/>
      <c r="I311" s="83"/>
      <c r="J311" s="83">
        <f>L311+O311</f>
        <v>3845520</v>
      </c>
      <c r="K311" s="83">
        <f>O311</f>
        <v>3845520</v>
      </c>
      <c r="L311" s="83"/>
      <c r="M311" s="83"/>
      <c r="N311" s="83"/>
      <c r="O311" s="83">
        <f>O321</f>
        <v>3845520</v>
      </c>
      <c r="P311" s="80">
        <f t="shared" si="65"/>
        <v>3845520</v>
      </c>
    </row>
    <row r="312" spans="1:18" s="8" customFormat="1" ht="40.5" customHeight="1" x14ac:dyDescent="0.2">
      <c r="A312" s="37"/>
      <c r="B312" s="87"/>
      <c r="C312" s="20"/>
      <c r="D312" s="42" t="s">
        <v>643</v>
      </c>
      <c r="E312" s="83"/>
      <c r="F312" s="83"/>
      <c r="G312" s="83"/>
      <c r="H312" s="83"/>
      <c r="I312" s="83"/>
      <c r="J312" s="83">
        <f t="shared" ref="J312:O312" si="70">J354</f>
        <v>8000000</v>
      </c>
      <c r="K312" s="83">
        <f t="shared" si="70"/>
        <v>8000000</v>
      </c>
      <c r="L312" s="83">
        <f t="shared" si="70"/>
        <v>0</v>
      </c>
      <c r="M312" s="83">
        <f t="shared" si="70"/>
        <v>0</v>
      </c>
      <c r="N312" s="83">
        <f t="shared" si="70"/>
        <v>0</v>
      </c>
      <c r="O312" s="83">
        <f t="shared" si="70"/>
        <v>8000000</v>
      </c>
      <c r="P312" s="80">
        <f t="shared" si="65"/>
        <v>8000000</v>
      </c>
    </row>
    <row r="313" spans="1:18" s="19" customFormat="1" ht="17.25" customHeight="1" x14ac:dyDescent="0.2">
      <c r="A313" s="39"/>
      <c r="B313" s="29"/>
      <c r="C313" s="30"/>
      <c r="D313" s="42" t="s">
        <v>511</v>
      </c>
      <c r="E313" s="100">
        <f>F313+I313</f>
        <v>0</v>
      </c>
      <c r="F313" s="100"/>
      <c r="G313" s="100"/>
      <c r="H313" s="100"/>
      <c r="I313" s="100"/>
      <c r="J313" s="83">
        <f>L313+O313</f>
        <v>40000000</v>
      </c>
      <c r="K313" s="83"/>
      <c r="L313" s="83"/>
      <c r="M313" s="83"/>
      <c r="N313" s="83"/>
      <c r="O313" s="126">
        <f>O359</f>
        <v>40000000</v>
      </c>
      <c r="P313" s="66">
        <f t="shared" si="65"/>
        <v>40000000</v>
      </c>
    </row>
    <row r="314" spans="1:18" s="19" customFormat="1" ht="17.25" customHeight="1" x14ac:dyDescent="0.2">
      <c r="A314" s="38" t="s">
        <v>352</v>
      </c>
      <c r="B314" s="31"/>
      <c r="C314" s="30"/>
      <c r="D314" s="78" t="s">
        <v>74</v>
      </c>
      <c r="E314" s="105">
        <f>E315+E316+E317+E319+E320+E322+E324+E325+E339+E341+E343+E330+E327+E346+E358+E332+E333+E357</f>
        <v>3461000</v>
      </c>
      <c r="F314" s="105">
        <f>F315+F316+F317+F319+F320+F322+F324+F325+F339+F341+F343+F330+F327+F346+F358+F332+F333+F357</f>
        <v>3461000</v>
      </c>
      <c r="G314" s="100">
        <f>G315+G316+G317+G319+G320+G322+G324+G325+G339+G341+G343+G330+G327+G346+G358+G332+G333</f>
        <v>2356300</v>
      </c>
      <c r="H314" s="100">
        <f>H315+H316+H317+H319+H320+H322+H324+H325+H339+H341+H343+H330+H327+H346+H358+H332+H333</f>
        <v>68000</v>
      </c>
      <c r="I314" s="100">
        <f>I315+I316+I317+I319+I320+I322+I324+I325+I339+I341+I343+I330+I327+I346+I358+I332+I333</f>
        <v>0</v>
      </c>
      <c r="J314" s="105">
        <f>J315+J317+J319+J322+J329+J330+J331+J332+J336+J337+J346+J348+J351+J355+J358+J316+J328+J320+J326+J353</f>
        <v>515967057</v>
      </c>
      <c r="K314" s="105">
        <f>K315+K317+K319+K322+K329+K330+K331+K332+K336+K337+K346+K348+K351+K355+K358+K316+K328+K320+K326+K353</f>
        <v>475967057</v>
      </c>
      <c r="L314" s="100">
        <f>L315+L317+L319+L322+L329+L330+L331+L332+L336+L337+L346+L348+L351+L355+L358</f>
        <v>0</v>
      </c>
      <c r="M314" s="100">
        <f>M315+M317+M319+M322+M329+M330+M331+M332+M336+M337+M346+M348+M351+M355+M358</f>
        <v>0</v>
      </c>
      <c r="N314" s="100">
        <f>N315+N317+N319+N322+N329+N330+N331+N332+N336+N337+N346+N348+N351+N355+N358</f>
        <v>0</v>
      </c>
      <c r="O314" s="105">
        <f>O315+O317+O319+O322+O329+O330+O331+O332+O336+O337+O346+O348+O351+O355+O358+O316+O328+O320+O326+O353</f>
        <v>515967057</v>
      </c>
      <c r="P314" s="105">
        <f>P315+P317+P319+P322+P329+P330+P331+P332+P336+P337+P346+P348+P351+P355+P358+P316+P328+P320+P326+P353</f>
        <v>519428057</v>
      </c>
    </row>
    <row r="315" spans="1:18" s="19" customFormat="1" ht="25.5" x14ac:dyDescent="0.2">
      <c r="A315" s="38" t="s">
        <v>353</v>
      </c>
      <c r="B315" s="25" t="s">
        <v>196</v>
      </c>
      <c r="C315" s="25" t="s">
        <v>121</v>
      </c>
      <c r="D315" s="76" t="s">
        <v>195</v>
      </c>
      <c r="E315" s="50">
        <f t="shared" ref="E315:E360" si="71">F315+I315</f>
        <v>3362500</v>
      </c>
      <c r="F315" s="51">
        <f>4002500-640000</f>
        <v>3362500</v>
      </c>
      <c r="G315" s="51">
        <f>2225300+643500-500000-12500</f>
        <v>2356300</v>
      </c>
      <c r="H315" s="51">
        <v>68000</v>
      </c>
      <c r="I315" s="51"/>
      <c r="J315" s="50">
        <f t="shared" ref="J315:J354" si="72">L315+O315</f>
        <v>0</v>
      </c>
      <c r="K315" s="51">
        <f>430000-288250-141750</f>
        <v>0</v>
      </c>
      <c r="L315" s="51"/>
      <c r="M315" s="51"/>
      <c r="N315" s="51"/>
      <c r="O315" s="51">
        <f t="shared" ref="O315:O338" si="73">K315</f>
        <v>0</v>
      </c>
      <c r="P315" s="66">
        <f t="shared" ref="P315:P363" si="74">E315+J315</f>
        <v>3362500</v>
      </c>
    </row>
    <row r="316" spans="1:18" s="19" customFormat="1" ht="16.5" customHeight="1" x14ac:dyDescent="0.2">
      <c r="A316" s="38" t="s">
        <v>354</v>
      </c>
      <c r="B316" s="72" t="s">
        <v>60</v>
      </c>
      <c r="C316" s="72" t="s">
        <v>137</v>
      </c>
      <c r="D316" s="55" t="s">
        <v>198</v>
      </c>
      <c r="E316" s="50">
        <f t="shared" si="71"/>
        <v>0</v>
      </c>
      <c r="F316" s="51"/>
      <c r="G316" s="51"/>
      <c r="H316" s="51"/>
      <c r="I316" s="51"/>
      <c r="J316" s="50">
        <f t="shared" si="72"/>
        <v>50</v>
      </c>
      <c r="K316" s="51">
        <v>50</v>
      </c>
      <c r="L316" s="51"/>
      <c r="M316" s="51"/>
      <c r="N316" s="51"/>
      <c r="O316" s="51">
        <f t="shared" si="73"/>
        <v>50</v>
      </c>
      <c r="P316" s="66">
        <f t="shared" si="74"/>
        <v>50</v>
      </c>
    </row>
    <row r="317" spans="1:18" s="19" customFormat="1" ht="25.5" x14ac:dyDescent="0.2">
      <c r="A317" s="38" t="s">
        <v>377</v>
      </c>
      <c r="B317" s="72" t="s">
        <v>62</v>
      </c>
      <c r="C317" s="72" t="s">
        <v>138</v>
      </c>
      <c r="D317" s="75" t="s">
        <v>621</v>
      </c>
      <c r="E317" s="50">
        <f t="shared" si="71"/>
        <v>0</v>
      </c>
      <c r="F317" s="51"/>
      <c r="G317" s="51"/>
      <c r="H317" s="51"/>
      <c r="I317" s="51"/>
      <c r="J317" s="50">
        <f t="shared" si="72"/>
        <v>3356239</v>
      </c>
      <c r="K317" s="51">
        <f>3067989+288250</f>
        <v>3356239</v>
      </c>
      <c r="L317" s="51"/>
      <c r="M317" s="51"/>
      <c r="N317" s="51"/>
      <c r="O317" s="51">
        <f t="shared" si="73"/>
        <v>3356239</v>
      </c>
      <c r="P317" s="66">
        <f t="shared" si="74"/>
        <v>3356239</v>
      </c>
    </row>
    <row r="318" spans="1:18" s="19" customFormat="1" ht="38.25" hidden="1" x14ac:dyDescent="0.2">
      <c r="A318" s="38"/>
      <c r="B318" s="72"/>
      <c r="C318" s="72"/>
      <c r="D318" s="23" t="s">
        <v>609</v>
      </c>
      <c r="E318" s="50"/>
      <c r="F318" s="51"/>
      <c r="G318" s="51"/>
      <c r="H318" s="51"/>
      <c r="I318" s="51"/>
      <c r="J318" s="50">
        <f t="shared" si="72"/>
        <v>0</v>
      </c>
      <c r="K318" s="51"/>
      <c r="L318" s="51"/>
      <c r="M318" s="51"/>
      <c r="N318" s="51"/>
      <c r="O318" s="51">
        <f>K318</f>
        <v>0</v>
      </c>
      <c r="P318" s="66">
        <f>E318+J318</f>
        <v>0</v>
      </c>
    </row>
    <row r="319" spans="1:18" s="19" customFormat="1" ht="25.5" x14ac:dyDescent="0.2">
      <c r="A319" s="38" t="s">
        <v>562</v>
      </c>
      <c r="B319" s="72" t="s">
        <v>122</v>
      </c>
      <c r="C319" s="72" t="s">
        <v>139</v>
      </c>
      <c r="D319" s="75" t="s">
        <v>624</v>
      </c>
      <c r="E319" s="50">
        <f t="shared" si="71"/>
        <v>0</v>
      </c>
      <c r="F319" s="51"/>
      <c r="G319" s="51"/>
      <c r="H319" s="51"/>
      <c r="I319" s="51"/>
      <c r="J319" s="50">
        <f t="shared" si="72"/>
        <v>4100</v>
      </c>
      <c r="K319" s="51">
        <v>4100</v>
      </c>
      <c r="L319" s="51"/>
      <c r="M319" s="51"/>
      <c r="N319" s="51"/>
      <c r="O319" s="51">
        <f t="shared" si="73"/>
        <v>4100</v>
      </c>
      <c r="P319" s="66">
        <f t="shared" si="74"/>
        <v>4100</v>
      </c>
    </row>
    <row r="320" spans="1:18" s="19" customFormat="1" ht="25.5" x14ac:dyDescent="0.2">
      <c r="A320" s="38" t="s">
        <v>638</v>
      </c>
      <c r="B320" s="72" t="s">
        <v>639</v>
      </c>
      <c r="C320" s="72" t="s">
        <v>140</v>
      </c>
      <c r="D320" s="55" t="s">
        <v>637</v>
      </c>
      <c r="E320" s="50">
        <f t="shared" si="71"/>
        <v>0</v>
      </c>
      <c r="F320" s="51"/>
      <c r="G320" s="51"/>
      <c r="H320" s="51"/>
      <c r="I320" s="51"/>
      <c r="J320" s="50">
        <f t="shared" si="72"/>
        <v>3845520</v>
      </c>
      <c r="K320" s="51">
        <v>3845520</v>
      </c>
      <c r="L320" s="51"/>
      <c r="M320" s="51"/>
      <c r="N320" s="51"/>
      <c r="O320" s="51">
        <f t="shared" si="73"/>
        <v>3845520</v>
      </c>
      <c r="P320" s="66">
        <f t="shared" si="74"/>
        <v>3845520</v>
      </c>
    </row>
    <row r="321" spans="1:16" s="8" customFormat="1" ht="38.25" x14ac:dyDescent="0.2">
      <c r="A321" s="37"/>
      <c r="B321" s="24"/>
      <c r="C321" s="24"/>
      <c r="D321" s="42" t="s">
        <v>636</v>
      </c>
      <c r="E321" s="47"/>
      <c r="F321" s="83"/>
      <c r="G321" s="83"/>
      <c r="H321" s="83"/>
      <c r="I321" s="83"/>
      <c r="J321" s="47">
        <f>L321+O321</f>
        <v>3845520</v>
      </c>
      <c r="K321" s="83">
        <f>O321</f>
        <v>3845520</v>
      </c>
      <c r="L321" s="83"/>
      <c r="M321" s="83"/>
      <c r="N321" s="83"/>
      <c r="O321" s="83">
        <v>3845520</v>
      </c>
      <c r="P321" s="66">
        <f t="shared" si="74"/>
        <v>3845520</v>
      </c>
    </row>
    <row r="322" spans="1:16" s="19" customFormat="1" x14ac:dyDescent="0.2">
      <c r="A322" s="38" t="s">
        <v>378</v>
      </c>
      <c r="B322" s="46" t="s">
        <v>34</v>
      </c>
      <c r="C322" s="46" t="s">
        <v>3</v>
      </c>
      <c r="D322" s="55" t="s">
        <v>94</v>
      </c>
      <c r="E322" s="50">
        <f>F322+I322</f>
        <v>0</v>
      </c>
      <c r="F322" s="51"/>
      <c r="G322" s="51"/>
      <c r="H322" s="51"/>
      <c r="I322" s="51"/>
      <c r="J322" s="50">
        <f t="shared" si="72"/>
        <v>14981934</v>
      </c>
      <c r="K322" s="51">
        <f>15032137-50000-203</f>
        <v>14981934</v>
      </c>
      <c r="L322" s="51"/>
      <c r="M322" s="51"/>
      <c r="N322" s="51"/>
      <c r="O322" s="51">
        <f t="shared" si="73"/>
        <v>14981934</v>
      </c>
      <c r="P322" s="66">
        <f t="shared" si="74"/>
        <v>14981934</v>
      </c>
    </row>
    <row r="323" spans="1:16" s="8" customFormat="1" hidden="1" x14ac:dyDescent="0.2">
      <c r="A323" s="37"/>
      <c r="B323" s="21"/>
      <c r="C323" s="21"/>
      <c r="D323" s="41" t="s">
        <v>510</v>
      </c>
      <c r="E323" s="47"/>
      <c r="F323" s="83"/>
      <c r="G323" s="83"/>
      <c r="H323" s="83"/>
      <c r="I323" s="83"/>
      <c r="J323" s="47">
        <f t="shared" si="72"/>
        <v>0</v>
      </c>
      <c r="K323" s="83"/>
      <c r="L323" s="83"/>
      <c r="M323" s="83"/>
      <c r="N323" s="83"/>
      <c r="O323" s="83">
        <f t="shared" si="73"/>
        <v>0</v>
      </c>
      <c r="P323" s="66">
        <f t="shared" si="74"/>
        <v>0</v>
      </c>
    </row>
    <row r="324" spans="1:16" s="19" customFormat="1" hidden="1" x14ac:dyDescent="0.2">
      <c r="A324" s="38" t="s">
        <v>539</v>
      </c>
      <c r="B324" s="46" t="s">
        <v>210</v>
      </c>
      <c r="C324" s="46" t="s">
        <v>4</v>
      </c>
      <c r="D324" s="55" t="s">
        <v>96</v>
      </c>
      <c r="E324" s="50">
        <f t="shared" si="71"/>
        <v>0</v>
      </c>
      <c r="F324" s="51"/>
      <c r="G324" s="51"/>
      <c r="H324" s="51"/>
      <c r="I324" s="51"/>
      <c r="J324" s="50">
        <f t="shared" si="72"/>
        <v>0</v>
      </c>
      <c r="K324" s="51"/>
      <c r="L324" s="51"/>
      <c r="M324" s="51"/>
      <c r="N324" s="51"/>
      <c r="O324" s="51">
        <f t="shared" si="73"/>
        <v>0</v>
      </c>
      <c r="P324" s="66">
        <f t="shared" si="74"/>
        <v>0</v>
      </c>
    </row>
    <row r="325" spans="1:16" s="19" customFormat="1" hidden="1" x14ac:dyDescent="0.2">
      <c r="A325" s="38" t="s">
        <v>379</v>
      </c>
      <c r="B325" s="25" t="s">
        <v>218</v>
      </c>
      <c r="C325" s="46"/>
      <c r="D325" s="57" t="s">
        <v>452</v>
      </c>
      <c r="E325" s="50">
        <f t="shared" si="71"/>
        <v>0</v>
      </c>
      <c r="F325" s="51">
        <f>F326</f>
        <v>0</v>
      </c>
      <c r="G325" s="51">
        <f>G326</f>
        <v>0</v>
      </c>
      <c r="H325" s="51">
        <f>H326</f>
        <v>0</v>
      </c>
      <c r="I325" s="51">
        <f>I326</f>
        <v>0</v>
      </c>
      <c r="J325" s="50">
        <f t="shared" si="72"/>
        <v>0</v>
      </c>
      <c r="K325" s="51"/>
      <c r="L325" s="51">
        <f>L326</f>
        <v>0</v>
      </c>
      <c r="M325" s="51">
        <f>M326</f>
        <v>0</v>
      </c>
      <c r="N325" s="51">
        <f>N326</f>
        <v>0</v>
      </c>
      <c r="O325" s="51">
        <f t="shared" si="73"/>
        <v>0</v>
      </c>
      <c r="P325" s="66">
        <f t="shared" si="74"/>
        <v>0</v>
      </c>
    </row>
    <row r="326" spans="1:16" s="8" customFormat="1" ht="25.5" x14ac:dyDescent="0.2">
      <c r="A326" s="37" t="s">
        <v>380</v>
      </c>
      <c r="B326" s="20" t="s">
        <v>221</v>
      </c>
      <c r="C326" s="21" t="s">
        <v>478</v>
      </c>
      <c r="D326" s="22" t="s">
        <v>220</v>
      </c>
      <c r="E326" s="47">
        <f t="shared" si="71"/>
        <v>0</v>
      </c>
      <c r="F326" s="83"/>
      <c r="G326" s="83"/>
      <c r="H326" s="83"/>
      <c r="I326" s="83"/>
      <c r="J326" s="47">
        <f t="shared" si="72"/>
        <v>30</v>
      </c>
      <c r="K326" s="83">
        <f>3000-990-990-990</f>
        <v>30</v>
      </c>
      <c r="L326" s="83"/>
      <c r="M326" s="83"/>
      <c r="N326" s="83"/>
      <c r="O326" s="51">
        <f t="shared" si="73"/>
        <v>30</v>
      </c>
      <c r="P326" s="80">
        <f t="shared" si="74"/>
        <v>30</v>
      </c>
    </row>
    <row r="327" spans="1:16" s="19" customFormat="1" ht="25.5" hidden="1" x14ac:dyDescent="0.2">
      <c r="A327" s="38" t="s">
        <v>559</v>
      </c>
      <c r="B327" s="25" t="s">
        <v>54</v>
      </c>
      <c r="C327" s="72" t="s">
        <v>68</v>
      </c>
      <c r="D327" s="75" t="s">
        <v>300</v>
      </c>
      <c r="E327" s="50">
        <f t="shared" si="71"/>
        <v>0</v>
      </c>
      <c r="F327" s="51"/>
      <c r="G327" s="51"/>
      <c r="H327" s="51"/>
      <c r="I327" s="51"/>
      <c r="J327" s="50">
        <f t="shared" si="72"/>
        <v>0</v>
      </c>
      <c r="K327" s="51"/>
      <c r="L327" s="51"/>
      <c r="M327" s="51"/>
      <c r="N327" s="51"/>
      <c r="O327" s="51">
        <f t="shared" si="73"/>
        <v>0</v>
      </c>
      <c r="P327" s="66">
        <f t="shared" si="74"/>
        <v>0</v>
      </c>
    </row>
    <row r="328" spans="1:16" s="19" customFormat="1" ht="25.5" x14ac:dyDescent="0.2">
      <c r="A328" s="38" t="s">
        <v>590</v>
      </c>
      <c r="B328" s="25" t="s">
        <v>143</v>
      </c>
      <c r="C328" s="95" t="s">
        <v>2</v>
      </c>
      <c r="D328" s="26" t="s">
        <v>92</v>
      </c>
      <c r="E328" s="50"/>
      <c r="F328" s="51"/>
      <c r="G328" s="51"/>
      <c r="H328" s="51"/>
      <c r="I328" s="51"/>
      <c r="J328" s="50">
        <f>L328+O328</f>
        <v>10</v>
      </c>
      <c r="K328" s="51">
        <v>10</v>
      </c>
      <c r="L328" s="51"/>
      <c r="M328" s="51"/>
      <c r="N328" s="51"/>
      <c r="O328" s="51">
        <f>K328</f>
        <v>10</v>
      </c>
      <c r="P328" s="66">
        <f>E328+J328</f>
        <v>10</v>
      </c>
    </row>
    <row r="329" spans="1:16" s="19" customFormat="1" ht="25.5" x14ac:dyDescent="0.2">
      <c r="A329" s="38" t="s">
        <v>631</v>
      </c>
      <c r="B329" s="25" t="s">
        <v>629</v>
      </c>
      <c r="C329" s="95" t="s">
        <v>2</v>
      </c>
      <c r="D329" s="26" t="s">
        <v>630</v>
      </c>
      <c r="E329" s="50"/>
      <c r="F329" s="51"/>
      <c r="G329" s="51"/>
      <c r="H329" s="51"/>
      <c r="I329" s="51"/>
      <c r="J329" s="50">
        <f>L329+O329</f>
        <v>2971174</v>
      </c>
      <c r="K329" s="51">
        <f>2831691+139483</f>
        <v>2971174</v>
      </c>
      <c r="L329" s="51"/>
      <c r="M329" s="51"/>
      <c r="N329" s="51"/>
      <c r="O329" s="51">
        <f>K329</f>
        <v>2971174</v>
      </c>
      <c r="P329" s="66">
        <f>E329+J329</f>
        <v>2971174</v>
      </c>
    </row>
    <row r="330" spans="1:16" s="19" customFormat="1" x14ac:dyDescent="0.2">
      <c r="A330" s="38" t="s">
        <v>381</v>
      </c>
      <c r="B330" s="72" t="s">
        <v>322</v>
      </c>
      <c r="C330" s="72" t="s">
        <v>71</v>
      </c>
      <c r="D330" s="75" t="s">
        <v>321</v>
      </c>
      <c r="E330" s="50">
        <f t="shared" si="71"/>
        <v>98500</v>
      </c>
      <c r="F330" s="109">
        <v>98500</v>
      </c>
      <c r="G330" s="109"/>
      <c r="H330" s="109"/>
      <c r="I330" s="109"/>
      <c r="J330" s="50">
        <f t="shared" si="72"/>
        <v>40618328</v>
      </c>
      <c r="K330" s="109">
        <f>32917206-180000+4000000+3335000+546122</f>
        <v>40618328</v>
      </c>
      <c r="L330" s="109"/>
      <c r="M330" s="109"/>
      <c r="N330" s="109"/>
      <c r="O330" s="51">
        <f t="shared" si="73"/>
        <v>40618328</v>
      </c>
      <c r="P330" s="66">
        <f t="shared" si="74"/>
        <v>40716828</v>
      </c>
    </row>
    <row r="331" spans="1:16" s="19" customFormat="1" x14ac:dyDescent="0.2">
      <c r="A331" s="38" t="s">
        <v>607</v>
      </c>
      <c r="B331" s="72" t="s">
        <v>350</v>
      </c>
      <c r="C331" s="72" t="s">
        <v>166</v>
      </c>
      <c r="D331" s="55" t="s">
        <v>349</v>
      </c>
      <c r="E331" s="50"/>
      <c r="F331" s="109"/>
      <c r="G331" s="109"/>
      <c r="H331" s="109"/>
      <c r="I331" s="109"/>
      <c r="J331" s="50">
        <f t="shared" si="72"/>
        <v>268567</v>
      </c>
      <c r="K331" s="109">
        <v>268567</v>
      </c>
      <c r="L331" s="109"/>
      <c r="M331" s="109"/>
      <c r="N331" s="109"/>
      <c r="O331" s="51">
        <f>K331</f>
        <v>268567</v>
      </c>
      <c r="P331" s="66">
        <f>E331+J331</f>
        <v>268567</v>
      </c>
    </row>
    <row r="332" spans="1:16" s="19" customFormat="1" x14ac:dyDescent="0.2">
      <c r="A332" s="38" t="s">
        <v>385</v>
      </c>
      <c r="B332" s="25" t="s">
        <v>383</v>
      </c>
      <c r="C332" s="25" t="s">
        <v>384</v>
      </c>
      <c r="D332" s="76" t="s">
        <v>382</v>
      </c>
      <c r="E332" s="50">
        <f t="shared" si="71"/>
        <v>0</v>
      </c>
      <c r="F332" s="51"/>
      <c r="G332" s="51"/>
      <c r="H332" s="51"/>
      <c r="I332" s="51"/>
      <c r="J332" s="50">
        <f t="shared" si="72"/>
        <v>11936635</v>
      </c>
      <c r="K332" s="51">
        <f>10248643+2600000-19245-15580+280000-611061-546122</f>
        <v>11936635</v>
      </c>
      <c r="L332" s="51"/>
      <c r="M332" s="51"/>
      <c r="N332" s="51"/>
      <c r="O332" s="51">
        <f t="shared" si="73"/>
        <v>11936635</v>
      </c>
      <c r="P332" s="66">
        <f t="shared" si="74"/>
        <v>11936635</v>
      </c>
    </row>
    <row r="333" spans="1:16" s="19" customFormat="1" hidden="1" x14ac:dyDescent="0.2">
      <c r="A333" s="38" t="s">
        <v>388</v>
      </c>
      <c r="B333" s="25" t="s">
        <v>387</v>
      </c>
      <c r="C333" s="25"/>
      <c r="D333" s="75" t="s">
        <v>386</v>
      </c>
      <c r="E333" s="50">
        <f t="shared" si="71"/>
        <v>0</v>
      </c>
      <c r="F333" s="51"/>
      <c r="G333" s="51"/>
      <c r="H333" s="51"/>
      <c r="I333" s="51"/>
      <c r="J333" s="50">
        <f t="shared" si="72"/>
        <v>0</v>
      </c>
      <c r="K333" s="51"/>
      <c r="L333" s="51">
        <f>SUM(L336:L338)</f>
        <v>0</v>
      </c>
      <c r="M333" s="51">
        <f>SUM(M336:M338)</f>
        <v>0</v>
      </c>
      <c r="N333" s="51">
        <f>SUM(N336:N338)</f>
        <v>0</v>
      </c>
      <c r="O333" s="51">
        <f>K333</f>
        <v>0</v>
      </c>
      <c r="P333" s="66">
        <f>E333+J333</f>
        <v>0</v>
      </c>
    </row>
    <row r="334" spans="1:16" s="8" customFormat="1" ht="51" hidden="1" x14ac:dyDescent="0.2">
      <c r="A334" s="37"/>
      <c r="B334" s="20"/>
      <c r="C334" s="20"/>
      <c r="D334" s="23" t="s">
        <v>608</v>
      </c>
      <c r="E334" s="47"/>
      <c r="F334" s="83"/>
      <c r="G334" s="83"/>
      <c r="H334" s="83"/>
      <c r="I334" s="83"/>
      <c r="J334" s="50">
        <f t="shared" si="72"/>
        <v>0</v>
      </c>
      <c r="K334" s="83"/>
      <c r="L334" s="83"/>
      <c r="M334" s="83"/>
      <c r="N334" s="83"/>
      <c r="O334" s="51">
        <f>K334</f>
        <v>0</v>
      </c>
      <c r="P334" s="66">
        <f>E334+J334</f>
        <v>0</v>
      </c>
    </row>
    <row r="335" spans="1:16" s="8" customFormat="1" hidden="1" x14ac:dyDescent="0.2">
      <c r="A335" s="37"/>
      <c r="B335" s="20"/>
      <c r="C335" s="20"/>
      <c r="D335" s="23" t="s">
        <v>510</v>
      </c>
      <c r="E335" s="47"/>
      <c r="F335" s="83"/>
      <c r="G335" s="83"/>
      <c r="H335" s="83"/>
      <c r="I335" s="83"/>
      <c r="J335" s="47">
        <f>K335+L335</f>
        <v>0</v>
      </c>
      <c r="K335" s="83"/>
      <c r="L335" s="83"/>
      <c r="M335" s="83"/>
      <c r="N335" s="83"/>
      <c r="O335" s="51">
        <f>K335</f>
        <v>0</v>
      </c>
      <c r="P335" s="66">
        <f>E335+J335</f>
        <v>0</v>
      </c>
    </row>
    <row r="336" spans="1:16" s="8" customFormat="1" x14ac:dyDescent="0.2">
      <c r="A336" s="37" t="s">
        <v>392</v>
      </c>
      <c r="B336" s="20" t="s">
        <v>389</v>
      </c>
      <c r="C336" s="20" t="s">
        <v>384</v>
      </c>
      <c r="D336" s="23" t="s">
        <v>395</v>
      </c>
      <c r="E336" s="50">
        <f t="shared" si="71"/>
        <v>0</v>
      </c>
      <c r="F336" s="83"/>
      <c r="G336" s="83"/>
      <c r="H336" s="83"/>
      <c r="I336" s="83"/>
      <c r="J336" s="50">
        <f t="shared" si="72"/>
        <v>9670</v>
      </c>
      <c r="K336" s="83">
        <v>9670</v>
      </c>
      <c r="L336" s="83"/>
      <c r="M336" s="83"/>
      <c r="N336" s="83"/>
      <c r="O336" s="51">
        <f t="shared" si="73"/>
        <v>9670</v>
      </c>
      <c r="P336" s="66">
        <f t="shared" si="74"/>
        <v>9670</v>
      </c>
    </row>
    <row r="337" spans="1:21" s="8" customFormat="1" x14ac:dyDescent="0.2">
      <c r="A337" s="37" t="s">
        <v>393</v>
      </c>
      <c r="B337" s="20" t="s">
        <v>390</v>
      </c>
      <c r="C337" s="20" t="s">
        <v>384</v>
      </c>
      <c r="D337" s="23" t="s">
        <v>396</v>
      </c>
      <c r="E337" s="50">
        <f t="shared" si="71"/>
        <v>0</v>
      </c>
      <c r="F337" s="83"/>
      <c r="G337" s="83"/>
      <c r="H337" s="83"/>
      <c r="I337" s="83"/>
      <c r="J337" s="50">
        <f t="shared" si="72"/>
        <v>1415768</v>
      </c>
      <c r="K337" s="83">
        <f>504000+911768</f>
        <v>1415768</v>
      </c>
      <c r="L337" s="83"/>
      <c r="M337" s="83"/>
      <c r="N337" s="83"/>
      <c r="O337" s="51">
        <f t="shared" si="73"/>
        <v>1415768</v>
      </c>
      <c r="P337" s="66">
        <f t="shared" si="74"/>
        <v>1415768</v>
      </c>
    </row>
    <row r="338" spans="1:21" s="8" customFormat="1" hidden="1" x14ac:dyDescent="0.2">
      <c r="A338" s="37" t="s">
        <v>394</v>
      </c>
      <c r="B338" s="20" t="s">
        <v>391</v>
      </c>
      <c r="C338" s="20" t="s">
        <v>384</v>
      </c>
      <c r="D338" s="23" t="s">
        <v>397</v>
      </c>
      <c r="E338" s="50">
        <f t="shared" si="71"/>
        <v>0</v>
      </c>
      <c r="F338" s="83"/>
      <c r="G338" s="83"/>
      <c r="H338" s="83"/>
      <c r="I338" s="83"/>
      <c r="J338" s="50">
        <f t="shared" si="72"/>
        <v>0</v>
      </c>
      <c r="K338" s="83"/>
      <c r="L338" s="83"/>
      <c r="M338" s="83"/>
      <c r="N338" s="83"/>
      <c r="O338" s="51">
        <f t="shared" si="73"/>
        <v>0</v>
      </c>
      <c r="P338" s="66">
        <f t="shared" si="74"/>
        <v>0</v>
      </c>
    </row>
    <row r="339" spans="1:21" s="19" customFormat="1" ht="25.5" hidden="1" x14ac:dyDescent="0.2">
      <c r="A339" s="38">
        <v>4713100</v>
      </c>
      <c r="B339" s="25" t="s">
        <v>155</v>
      </c>
      <c r="C339" s="46"/>
      <c r="D339" s="94" t="s">
        <v>14</v>
      </c>
      <c r="E339" s="50">
        <f>E340</f>
        <v>0</v>
      </c>
      <c r="F339" s="50">
        <f t="shared" ref="F339:O339" si="75">F340</f>
        <v>0</v>
      </c>
      <c r="G339" s="50">
        <f t="shared" si="75"/>
        <v>0</v>
      </c>
      <c r="H339" s="50">
        <f t="shared" si="75"/>
        <v>0</v>
      </c>
      <c r="I339" s="50">
        <f t="shared" si="75"/>
        <v>0</v>
      </c>
      <c r="J339" s="50">
        <f t="shared" si="72"/>
        <v>0</v>
      </c>
      <c r="K339" s="50"/>
      <c r="L339" s="50">
        <f t="shared" si="75"/>
        <v>0</v>
      </c>
      <c r="M339" s="50">
        <f t="shared" si="75"/>
        <v>0</v>
      </c>
      <c r="N339" s="50">
        <f t="shared" si="75"/>
        <v>0</v>
      </c>
      <c r="O339" s="50">
        <f t="shared" si="75"/>
        <v>0</v>
      </c>
      <c r="P339" s="66">
        <f t="shared" si="74"/>
        <v>0</v>
      </c>
    </row>
    <row r="340" spans="1:21" s="8" customFormat="1" hidden="1" x14ac:dyDescent="0.2">
      <c r="A340" s="37">
        <v>4713105</v>
      </c>
      <c r="B340" s="20" t="s">
        <v>53</v>
      </c>
      <c r="C340" s="21" t="s">
        <v>60</v>
      </c>
      <c r="D340" s="41" t="s">
        <v>109</v>
      </c>
      <c r="E340" s="47">
        <f>F340+I340</f>
        <v>0</v>
      </c>
      <c r="F340" s="126"/>
      <c r="G340" s="126"/>
      <c r="H340" s="126"/>
      <c r="I340" s="126"/>
      <c r="J340" s="50">
        <f t="shared" si="72"/>
        <v>0</v>
      </c>
      <c r="K340" s="83"/>
      <c r="L340" s="126"/>
      <c r="M340" s="126"/>
      <c r="N340" s="126"/>
      <c r="O340" s="83">
        <f>K340</f>
        <v>0</v>
      </c>
      <c r="P340" s="66">
        <f t="shared" si="74"/>
        <v>0</v>
      </c>
    </row>
    <row r="341" spans="1:21" s="19" customFormat="1" hidden="1" x14ac:dyDescent="0.2">
      <c r="A341" s="38">
        <v>4715040</v>
      </c>
      <c r="B341" s="93" t="s">
        <v>144</v>
      </c>
      <c r="C341" s="93"/>
      <c r="D341" s="26" t="s">
        <v>145</v>
      </c>
      <c r="E341" s="50">
        <f>E342</f>
        <v>0</v>
      </c>
      <c r="F341" s="50">
        <f t="shared" ref="F341:O341" si="76">F342</f>
        <v>0</v>
      </c>
      <c r="G341" s="50">
        <f t="shared" si="76"/>
        <v>0</v>
      </c>
      <c r="H341" s="50">
        <f t="shared" si="76"/>
        <v>0</v>
      </c>
      <c r="I341" s="50">
        <f t="shared" si="76"/>
        <v>0</v>
      </c>
      <c r="J341" s="50">
        <f t="shared" si="72"/>
        <v>0</v>
      </c>
      <c r="K341" s="50"/>
      <c r="L341" s="50">
        <f t="shared" si="76"/>
        <v>0</v>
      </c>
      <c r="M341" s="50">
        <f t="shared" si="76"/>
        <v>0</v>
      </c>
      <c r="N341" s="50">
        <f t="shared" si="76"/>
        <v>0</v>
      </c>
      <c r="O341" s="50">
        <f t="shared" si="76"/>
        <v>0</v>
      </c>
      <c r="P341" s="66">
        <f t="shared" si="74"/>
        <v>0</v>
      </c>
    </row>
    <row r="342" spans="1:21" s="19" customFormat="1" hidden="1" x14ac:dyDescent="0.2">
      <c r="A342" s="81">
        <v>4715041</v>
      </c>
      <c r="B342" s="95" t="s">
        <v>146</v>
      </c>
      <c r="C342" s="95" t="s">
        <v>2</v>
      </c>
      <c r="D342" s="98" t="s">
        <v>147</v>
      </c>
      <c r="E342" s="50">
        <f>F342+I342</f>
        <v>0</v>
      </c>
      <c r="F342" s="126"/>
      <c r="G342" s="126"/>
      <c r="H342" s="126"/>
      <c r="I342" s="126"/>
      <c r="J342" s="50">
        <f t="shared" si="72"/>
        <v>0</v>
      </c>
      <c r="K342" s="51"/>
      <c r="L342" s="126"/>
      <c r="M342" s="126"/>
      <c r="N342" s="126"/>
      <c r="O342" s="83">
        <f>K342</f>
        <v>0</v>
      </c>
      <c r="P342" s="66">
        <f t="shared" si="74"/>
        <v>0</v>
      </c>
    </row>
    <row r="343" spans="1:21" s="19" customFormat="1" hidden="1" x14ac:dyDescent="0.2">
      <c r="A343" s="38">
        <v>4716050</v>
      </c>
      <c r="B343" s="25" t="s">
        <v>156</v>
      </c>
      <c r="C343" s="46"/>
      <c r="D343" s="73" t="s">
        <v>83</v>
      </c>
      <c r="E343" s="50">
        <f t="shared" si="71"/>
        <v>0</v>
      </c>
      <c r="F343" s="109"/>
      <c r="G343" s="109"/>
      <c r="H343" s="109"/>
      <c r="I343" s="109"/>
      <c r="J343" s="50">
        <f t="shared" si="72"/>
        <v>0</v>
      </c>
      <c r="K343" s="109"/>
      <c r="L343" s="109"/>
      <c r="M343" s="109"/>
      <c r="N343" s="109"/>
      <c r="O343" s="109">
        <f>O344</f>
        <v>0</v>
      </c>
      <c r="P343" s="66">
        <f t="shared" si="74"/>
        <v>0</v>
      </c>
    </row>
    <row r="344" spans="1:21" s="8" customFormat="1" hidden="1" x14ac:dyDescent="0.2">
      <c r="A344" s="37">
        <v>4716051</v>
      </c>
      <c r="B344" s="20" t="s">
        <v>56</v>
      </c>
      <c r="C344" s="20" t="s">
        <v>71</v>
      </c>
      <c r="D344" s="91" t="s">
        <v>84</v>
      </c>
      <c r="E344" s="50">
        <f t="shared" si="71"/>
        <v>0</v>
      </c>
      <c r="F344" s="126"/>
      <c r="G344" s="126"/>
      <c r="H344" s="126"/>
      <c r="I344" s="126"/>
      <c r="J344" s="50">
        <f t="shared" si="72"/>
        <v>0</v>
      </c>
      <c r="K344" s="126"/>
      <c r="L344" s="126"/>
      <c r="M344" s="126"/>
      <c r="N344" s="126"/>
      <c r="O344" s="83">
        <f t="shared" ref="O344:O352" si="77">K344</f>
        <v>0</v>
      </c>
      <c r="P344" s="66">
        <f t="shared" si="74"/>
        <v>0</v>
      </c>
    </row>
    <row r="345" spans="1:21" s="8" customFormat="1" ht="38.25" hidden="1" x14ac:dyDescent="0.2">
      <c r="A345" s="37"/>
      <c r="B345" s="20"/>
      <c r="C345" s="20"/>
      <c r="D345" s="53" t="s">
        <v>611</v>
      </c>
      <c r="E345" s="50"/>
      <c r="F345" s="126"/>
      <c r="G345" s="126"/>
      <c r="H345" s="126"/>
      <c r="I345" s="126"/>
      <c r="J345" s="50">
        <f t="shared" si="72"/>
        <v>0</v>
      </c>
      <c r="K345" s="126"/>
      <c r="L345" s="126"/>
      <c r="M345" s="126"/>
      <c r="N345" s="126"/>
      <c r="O345" s="126">
        <f>K345</f>
        <v>0</v>
      </c>
      <c r="P345" s="66">
        <f t="shared" si="74"/>
        <v>0</v>
      </c>
    </row>
    <row r="346" spans="1:21" s="34" customFormat="1" ht="15.75" customHeight="1" x14ac:dyDescent="0.2">
      <c r="A346" s="38" t="s">
        <v>505</v>
      </c>
      <c r="B346" s="33" t="s">
        <v>506</v>
      </c>
      <c r="C346" s="33" t="s">
        <v>384</v>
      </c>
      <c r="D346" s="130" t="s">
        <v>588</v>
      </c>
      <c r="E346" s="65">
        <f t="shared" si="71"/>
        <v>0</v>
      </c>
      <c r="F346" s="110"/>
      <c r="G346" s="110"/>
      <c r="H346" s="110"/>
      <c r="I346" s="110"/>
      <c r="J346" s="65">
        <f t="shared" si="72"/>
        <v>815316</v>
      </c>
      <c r="K346" s="110">
        <f>788851-41229-10256+77950</f>
        <v>815316</v>
      </c>
      <c r="L346" s="110"/>
      <c r="M346" s="110"/>
      <c r="N346" s="110"/>
      <c r="O346" s="110">
        <f>K346</f>
        <v>815316</v>
      </c>
      <c r="P346" s="66">
        <f t="shared" si="74"/>
        <v>815316</v>
      </c>
      <c r="Q346" s="19"/>
      <c r="R346" s="19"/>
      <c r="S346" s="19"/>
      <c r="T346" s="19"/>
      <c r="U346" s="19"/>
    </row>
    <row r="347" spans="1:21" s="34" customFormat="1" ht="27.75" hidden="1" customHeight="1" x14ac:dyDescent="0.2">
      <c r="A347" s="38" t="s">
        <v>518</v>
      </c>
      <c r="B347" s="33" t="s">
        <v>519</v>
      </c>
      <c r="C347" s="33"/>
      <c r="D347" s="130" t="s">
        <v>520</v>
      </c>
      <c r="E347" s="65">
        <f t="shared" si="71"/>
        <v>0</v>
      </c>
      <c r="F347" s="110"/>
      <c r="G347" s="110"/>
      <c r="H347" s="110"/>
      <c r="I347" s="110"/>
      <c r="J347" s="65">
        <f t="shared" si="72"/>
        <v>0</v>
      </c>
      <c r="K347" s="110"/>
      <c r="L347" s="110"/>
      <c r="M347" s="110"/>
      <c r="N347" s="110"/>
      <c r="O347" s="110">
        <f t="shared" si="77"/>
        <v>0</v>
      </c>
      <c r="P347" s="66">
        <f t="shared" si="74"/>
        <v>0</v>
      </c>
      <c r="Q347" s="19"/>
      <c r="R347" s="19"/>
      <c r="S347" s="19"/>
      <c r="T347" s="19"/>
      <c r="U347" s="19"/>
    </row>
    <row r="348" spans="1:21" s="36" customFormat="1" ht="27.75" customHeight="1" x14ac:dyDescent="0.2">
      <c r="A348" s="37" t="s">
        <v>521</v>
      </c>
      <c r="B348" s="54" t="s">
        <v>522</v>
      </c>
      <c r="C348" s="54" t="s">
        <v>127</v>
      </c>
      <c r="D348" s="131" t="s">
        <v>523</v>
      </c>
      <c r="E348" s="43">
        <f t="shared" si="71"/>
        <v>0</v>
      </c>
      <c r="F348" s="56"/>
      <c r="G348" s="56"/>
      <c r="H348" s="56"/>
      <c r="I348" s="56"/>
      <c r="J348" s="43">
        <f t="shared" si="72"/>
        <v>3017100</v>
      </c>
      <c r="K348" s="83">
        <v>3017100</v>
      </c>
      <c r="L348" s="56"/>
      <c r="M348" s="56"/>
      <c r="N348" s="56"/>
      <c r="O348" s="56">
        <f t="shared" si="77"/>
        <v>3017100</v>
      </c>
      <c r="P348" s="80">
        <f t="shared" si="74"/>
        <v>3017100</v>
      </c>
      <c r="Q348" s="8"/>
      <c r="R348" s="8"/>
      <c r="S348" s="8"/>
      <c r="T348" s="8"/>
      <c r="U348" s="8"/>
    </row>
    <row r="349" spans="1:21" s="36" customFormat="1" ht="30" hidden="1" customHeight="1" x14ac:dyDescent="0.2">
      <c r="A349" s="37" t="s">
        <v>547</v>
      </c>
      <c r="B349" s="54" t="s">
        <v>544</v>
      </c>
      <c r="C349" s="54" t="s">
        <v>127</v>
      </c>
      <c r="D349" s="131" t="s">
        <v>545</v>
      </c>
      <c r="E349" s="43">
        <f t="shared" si="71"/>
        <v>0</v>
      </c>
      <c r="F349" s="56"/>
      <c r="G349" s="56"/>
      <c r="H349" s="56"/>
      <c r="I349" s="56"/>
      <c r="J349" s="43">
        <f t="shared" si="72"/>
        <v>0</v>
      </c>
      <c r="K349" s="56"/>
      <c r="L349" s="56"/>
      <c r="M349" s="56"/>
      <c r="N349" s="56"/>
      <c r="O349" s="56">
        <f t="shared" si="77"/>
        <v>0</v>
      </c>
      <c r="P349" s="80">
        <f t="shared" si="74"/>
        <v>0</v>
      </c>
      <c r="Q349" s="8"/>
      <c r="R349" s="8"/>
      <c r="S349" s="8"/>
      <c r="T349" s="8"/>
      <c r="U349" s="8"/>
    </row>
    <row r="350" spans="1:21" s="36" customFormat="1" ht="23.25" hidden="1" customHeight="1" x14ac:dyDescent="0.2">
      <c r="A350" s="37"/>
      <c r="B350" s="54"/>
      <c r="C350" s="54"/>
      <c r="D350" s="131" t="s">
        <v>546</v>
      </c>
      <c r="E350" s="43">
        <f t="shared" si="71"/>
        <v>0</v>
      </c>
      <c r="F350" s="56"/>
      <c r="G350" s="56"/>
      <c r="H350" s="56"/>
      <c r="I350" s="56"/>
      <c r="J350" s="43">
        <f t="shared" si="72"/>
        <v>0</v>
      </c>
      <c r="K350" s="56"/>
      <c r="L350" s="56"/>
      <c r="M350" s="56"/>
      <c r="N350" s="56"/>
      <c r="O350" s="56">
        <f t="shared" si="77"/>
        <v>0</v>
      </c>
      <c r="P350" s="80">
        <f t="shared" si="74"/>
        <v>0</v>
      </c>
      <c r="Q350" s="8"/>
      <c r="R350" s="8"/>
      <c r="S350" s="8"/>
      <c r="T350" s="8"/>
      <c r="U350" s="8"/>
    </row>
    <row r="351" spans="1:21" s="36" customFormat="1" ht="25.5" x14ac:dyDescent="0.2">
      <c r="A351" s="37" t="s">
        <v>535</v>
      </c>
      <c r="B351" s="21" t="s">
        <v>533</v>
      </c>
      <c r="C351" s="21" t="s">
        <v>127</v>
      </c>
      <c r="D351" s="40" t="s">
        <v>536</v>
      </c>
      <c r="E351" s="43">
        <f t="shared" si="71"/>
        <v>0</v>
      </c>
      <c r="F351" s="56"/>
      <c r="G351" s="56"/>
      <c r="H351" s="56"/>
      <c r="I351" s="56"/>
      <c r="J351" s="43">
        <f t="shared" si="72"/>
        <v>307771654</v>
      </c>
      <c r="K351" s="56">
        <f>48500000+71453735+64729711+119285751+3802457</f>
        <v>307771654</v>
      </c>
      <c r="L351" s="56"/>
      <c r="M351" s="56"/>
      <c r="N351" s="56"/>
      <c r="O351" s="56">
        <f t="shared" si="77"/>
        <v>307771654</v>
      </c>
      <c r="P351" s="80">
        <f t="shared" si="74"/>
        <v>307771654</v>
      </c>
      <c r="Q351" s="8"/>
      <c r="R351" s="8"/>
      <c r="S351" s="8"/>
      <c r="T351" s="8"/>
      <c r="U351" s="8"/>
    </row>
    <row r="352" spans="1:21" s="36" customFormat="1" ht="25.5" x14ac:dyDescent="0.2">
      <c r="A352" s="37"/>
      <c r="B352" s="21"/>
      <c r="C352" s="21"/>
      <c r="D352" s="40" t="s">
        <v>537</v>
      </c>
      <c r="E352" s="43"/>
      <c r="F352" s="56"/>
      <c r="G352" s="56"/>
      <c r="H352" s="56"/>
      <c r="I352" s="56"/>
      <c r="J352" s="43">
        <f t="shared" si="72"/>
        <v>255816394</v>
      </c>
      <c r="K352" s="56">
        <f>71800932+64729711+119285751</f>
        <v>255816394</v>
      </c>
      <c r="L352" s="56"/>
      <c r="M352" s="56"/>
      <c r="N352" s="56"/>
      <c r="O352" s="56">
        <f t="shared" si="77"/>
        <v>255816394</v>
      </c>
      <c r="P352" s="112">
        <f t="shared" si="74"/>
        <v>255816394</v>
      </c>
      <c r="Q352" s="8"/>
      <c r="R352" s="8"/>
      <c r="S352" s="8"/>
      <c r="T352" s="8"/>
      <c r="U352" s="8"/>
    </row>
    <row r="353" spans="1:21" s="34" customFormat="1" ht="29.25" customHeight="1" x14ac:dyDescent="0.2">
      <c r="A353" s="38" t="s">
        <v>640</v>
      </c>
      <c r="B353" s="74" t="s">
        <v>641</v>
      </c>
      <c r="C353" s="46" t="s">
        <v>127</v>
      </c>
      <c r="D353" s="58" t="s">
        <v>642</v>
      </c>
      <c r="E353" s="65">
        <f t="shared" si="71"/>
        <v>0</v>
      </c>
      <c r="F353" s="110"/>
      <c r="G353" s="110"/>
      <c r="H353" s="110"/>
      <c r="I353" s="110"/>
      <c r="J353" s="43">
        <f t="shared" si="72"/>
        <v>8000000</v>
      </c>
      <c r="K353" s="110">
        <v>8000000</v>
      </c>
      <c r="L353" s="110"/>
      <c r="M353" s="110"/>
      <c r="N353" s="110"/>
      <c r="O353" s="110">
        <f>K353</f>
        <v>8000000</v>
      </c>
      <c r="P353" s="111">
        <f t="shared" si="74"/>
        <v>8000000</v>
      </c>
      <c r="Q353" s="19"/>
      <c r="R353" s="19"/>
      <c r="S353" s="19"/>
      <c r="T353" s="19"/>
      <c r="U353" s="19"/>
    </row>
    <row r="354" spans="1:21" s="36" customFormat="1" ht="39.75" customHeight="1" x14ac:dyDescent="0.2">
      <c r="A354" s="37"/>
      <c r="B354" s="48"/>
      <c r="C354" s="21"/>
      <c r="D354" s="40" t="s">
        <v>643</v>
      </c>
      <c r="E354" s="43"/>
      <c r="F354" s="56"/>
      <c r="G354" s="56"/>
      <c r="H354" s="56"/>
      <c r="I354" s="56"/>
      <c r="J354" s="43">
        <f t="shared" si="72"/>
        <v>8000000</v>
      </c>
      <c r="K354" s="56">
        <f>O354</f>
        <v>8000000</v>
      </c>
      <c r="L354" s="56"/>
      <c r="M354" s="56"/>
      <c r="N354" s="56"/>
      <c r="O354" s="56">
        <v>8000000</v>
      </c>
      <c r="P354" s="111">
        <f t="shared" si="74"/>
        <v>8000000</v>
      </c>
      <c r="Q354" s="8"/>
      <c r="R354" s="8"/>
      <c r="S354" s="8"/>
      <c r="T354" s="8"/>
      <c r="U354" s="8"/>
    </row>
    <row r="355" spans="1:21" s="36" customFormat="1" ht="25.5" x14ac:dyDescent="0.2">
      <c r="A355" s="37" t="s">
        <v>580</v>
      </c>
      <c r="B355" s="24" t="s">
        <v>338</v>
      </c>
      <c r="C355" s="21" t="s">
        <v>72</v>
      </c>
      <c r="D355" s="23" t="s">
        <v>337</v>
      </c>
      <c r="E355" s="43">
        <f t="shared" si="71"/>
        <v>0</v>
      </c>
      <c r="F355" s="56"/>
      <c r="G355" s="56"/>
      <c r="H355" s="56"/>
      <c r="I355" s="56"/>
      <c r="J355" s="50">
        <f t="shared" ref="J355:J361" si="78">L355+O355</f>
        <v>76954962</v>
      </c>
      <c r="K355" s="56">
        <f>27240786+45176772+15000000-4000000-6462596</f>
        <v>76954962</v>
      </c>
      <c r="L355" s="56"/>
      <c r="M355" s="56"/>
      <c r="N355" s="56"/>
      <c r="O355" s="56">
        <f>K355</f>
        <v>76954962</v>
      </c>
      <c r="P355" s="112">
        <f t="shared" si="74"/>
        <v>76954962</v>
      </c>
      <c r="Q355" s="8"/>
      <c r="R355" s="8"/>
      <c r="S355" s="8"/>
      <c r="T355" s="8"/>
      <c r="U355" s="8"/>
    </row>
    <row r="356" spans="1:21" s="36" customFormat="1" ht="25.5" hidden="1" x14ac:dyDescent="0.2">
      <c r="A356" s="37"/>
      <c r="B356" s="21"/>
      <c r="C356" s="21"/>
      <c r="D356" s="40" t="s">
        <v>537</v>
      </c>
      <c r="E356" s="43">
        <f t="shared" si="71"/>
        <v>0</v>
      </c>
      <c r="F356" s="56"/>
      <c r="G356" s="56"/>
      <c r="H356" s="56"/>
      <c r="I356" s="56"/>
      <c r="J356" s="50">
        <f t="shared" si="78"/>
        <v>0</v>
      </c>
      <c r="K356" s="56"/>
      <c r="L356" s="56"/>
      <c r="M356" s="56"/>
      <c r="N356" s="56"/>
      <c r="O356" s="56">
        <f>K356</f>
        <v>0</v>
      </c>
      <c r="P356" s="112">
        <f t="shared" si="74"/>
        <v>0</v>
      </c>
      <c r="Q356" s="8"/>
      <c r="R356" s="8"/>
      <c r="S356" s="8"/>
      <c r="T356" s="8"/>
      <c r="U356" s="8"/>
    </row>
    <row r="357" spans="1:21" s="34" customFormat="1" hidden="1" x14ac:dyDescent="0.2">
      <c r="A357" s="38" t="s">
        <v>587</v>
      </c>
      <c r="B357" s="21" t="s">
        <v>192</v>
      </c>
      <c r="C357" s="21" t="s">
        <v>127</v>
      </c>
      <c r="D357" s="28" t="s">
        <v>193</v>
      </c>
      <c r="E357" s="43">
        <f t="shared" si="71"/>
        <v>0</v>
      </c>
      <c r="F357" s="110"/>
      <c r="G357" s="110"/>
      <c r="H357" s="110"/>
      <c r="I357" s="110"/>
      <c r="J357" s="50">
        <f t="shared" si="78"/>
        <v>0</v>
      </c>
      <c r="K357" s="110"/>
      <c r="L357" s="110"/>
      <c r="M357" s="110"/>
      <c r="N357" s="110"/>
      <c r="O357" s="56">
        <f>K357</f>
        <v>0</v>
      </c>
      <c r="P357" s="112">
        <f t="shared" si="74"/>
        <v>0</v>
      </c>
      <c r="Q357" s="19"/>
      <c r="R357" s="19"/>
      <c r="S357" s="19"/>
      <c r="T357" s="19"/>
      <c r="U357" s="19"/>
    </row>
    <row r="358" spans="1:21" s="34" customFormat="1" x14ac:dyDescent="0.2">
      <c r="A358" s="38" t="s">
        <v>614</v>
      </c>
      <c r="B358" s="99" t="s">
        <v>499</v>
      </c>
      <c r="C358" s="99" t="s">
        <v>129</v>
      </c>
      <c r="D358" s="42" t="s">
        <v>133</v>
      </c>
      <c r="E358" s="43">
        <f t="shared" si="71"/>
        <v>0</v>
      </c>
      <c r="F358" s="113"/>
      <c r="G358" s="113"/>
      <c r="H358" s="113"/>
      <c r="I358" s="113"/>
      <c r="J358" s="65">
        <f t="shared" si="78"/>
        <v>40000000</v>
      </c>
      <c r="K358" s="113"/>
      <c r="L358" s="113"/>
      <c r="M358" s="113"/>
      <c r="N358" s="113"/>
      <c r="O358" s="110">
        <v>40000000</v>
      </c>
      <c r="P358" s="111">
        <f t="shared" si="74"/>
        <v>40000000</v>
      </c>
      <c r="Q358" s="19"/>
      <c r="R358" s="19"/>
      <c r="S358" s="19"/>
      <c r="T358" s="19"/>
      <c r="U358" s="19"/>
    </row>
    <row r="359" spans="1:21" s="34" customFormat="1" ht="15" customHeight="1" x14ac:dyDescent="0.2">
      <c r="A359" s="38"/>
      <c r="B359" s="99"/>
      <c r="C359" s="99"/>
      <c r="D359" s="42" t="s">
        <v>511</v>
      </c>
      <c r="E359" s="43">
        <f>F359+I359</f>
        <v>0</v>
      </c>
      <c r="F359" s="44"/>
      <c r="G359" s="44"/>
      <c r="H359" s="44"/>
      <c r="I359" s="44"/>
      <c r="J359" s="43">
        <f>L359+O359</f>
        <v>40000000</v>
      </c>
      <c r="K359" s="44"/>
      <c r="L359" s="44"/>
      <c r="M359" s="44"/>
      <c r="N359" s="44"/>
      <c r="O359" s="44">
        <f>O358</f>
        <v>40000000</v>
      </c>
      <c r="P359" s="112">
        <f>E359+J359</f>
        <v>40000000</v>
      </c>
      <c r="Q359" s="19"/>
      <c r="R359" s="19"/>
      <c r="S359" s="19"/>
      <c r="T359" s="19"/>
      <c r="U359" s="19"/>
    </row>
    <row r="360" spans="1:21" s="36" customFormat="1" ht="25.5" hidden="1" x14ac:dyDescent="0.2">
      <c r="A360" s="37" t="s">
        <v>612</v>
      </c>
      <c r="B360" s="35" t="s">
        <v>613</v>
      </c>
      <c r="C360" s="35" t="s">
        <v>373</v>
      </c>
      <c r="D360" s="75" t="s">
        <v>615</v>
      </c>
      <c r="E360" s="43">
        <f t="shared" si="71"/>
        <v>0</v>
      </c>
      <c r="F360" s="44"/>
      <c r="G360" s="44"/>
      <c r="H360" s="44"/>
      <c r="I360" s="44"/>
      <c r="J360" s="43">
        <f t="shared" si="78"/>
        <v>0</v>
      </c>
      <c r="K360" s="44"/>
      <c r="L360" s="44"/>
      <c r="M360" s="44"/>
      <c r="N360" s="44"/>
      <c r="O360" s="44"/>
      <c r="P360" s="112">
        <f t="shared" si="74"/>
        <v>0</v>
      </c>
      <c r="Q360" s="8"/>
      <c r="R360" s="8"/>
      <c r="S360" s="8"/>
      <c r="T360" s="8"/>
      <c r="U360" s="8"/>
    </row>
    <row r="361" spans="1:21" s="36" customFormat="1" ht="25.5" hidden="1" x14ac:dyDescent="0.2">
      <c r="A361" s="37"/>
      <c r="B361" s="35"/>
      <c r="C361" s="35"/>
      <c r="D361" s="42" t="s">
        <v>610</v>
      </c>
      <c r="E361" s="43"/>
      <c r="F361" s="44"/>
      <c r="G361" s="44"/>
      <c r="H361" s="44"/>
      <c r="I361" s="44"/>
      <c r="J361" s="43">
        <f t="shared" si="78"/>
        <v>0</v>
      </c>
      <c r="K361" s="44"/>
      <c r="L361" s="44"/>
      <c r="M361" s="44"/>
      <c r="N361" s="44"/>
      <c r="O361" s="44">
        <f>O360</f>
        <v>0</v>
      </c>
      <c r="P361" s="112">
        <f t="shared" si="74"/>
        <v>0</v>
      </c>
      <c r="Q361" s="8"/>
      <c r="R361" s="8"/>
      <c r="S361" s="8"/>
      <c r="T361" s="8"/>
      <c r="U361" s="8"/>
    </row>
    <row r="362" spans="1:21" s="36" customFormat="1" hidden="1" x14ac:dyDescent="0.2">
      <c r="A362" s="37"/>
      <c r="B362" s="35"/>
      <c r="C362" s="35"/>
      <c r="D362" s="42"/>
      <c r="E362" s="43"/>
      <c r="F362" s="44"/>
      <c r="G362" s="44"/>
      <c r="H362" s="44"/>
      <c r="I362" s="44"/>
      <c r="J362" s="43"/>
      <c r="K362" s="44"/>
      <c r="L362" s="44"/>
      <c r="M362" s="44"/>
      <c r="N362" s="44"/>
      <c r="O362" s="44"/>
      <c r="P362" s="112"/>
      <c r="Q362" s="8"/>
      <c r="R362" s="8"/>
      <c r="S362" s="8"/>
      <c r="T362" s="8"/>
      <c r="U362" s="8"/>
    </row>
    <row r="363" spans="1:21" s="34" customFormat="1" ht="15.75" customHeight="1" x14ac:dyDescent="0.2">
      <c r="A363" s="39">
        <v>3100000</v>
      </c>
      <c r="B363" s="114"/>
      <c r="C363" s="115"/>
      <c r="D363" s="116" t="s">
        <v>73</v>
      </c>
      <c r="E363" s="117">
        <f>E365</f>
        <v>1651000</v>
      </c>
      <c r="F363" s="117">
        <f t="shared" ref="F363:O363" si="79">F365</f>
        <v>1651000</v>
      </c>
      <c r="G363" s="117">
        <f t="shared" si="79"/>
        <v>1131500</v>
      </c>
      <c r="H363" s="117">
        <f t="shared" si="79"/>
        <v>0</v>
      </c>
      <c r="I363" s="117">
        <f t="shared" si="79"/>
        <v>0</v>
      </c>
      <c r="J363" s="117">
        <f t="shared" si="79"/>
        <v>199000</v>
      </c>
      <c r="K363" s="117">
        <f>K365</f>
        <v>199000</v>
      </c>
      <c r="L363" s="117">
        <f t="shared" si="79"/>
        <v>0</v>
      </c>
      <c r="M363" s="117">
        <f t="shared" si="79"/>
        <v>0</v>
      </c>
      <c r="N363" s="117">
        <f t="shared" si="79"/>
        <v>0</v>
      </c>
      <c r="O363" s="117">
        <f t="shared" si="79"/>
        <v>199000</v>
      </c>
      <c r="P363" s="111">
        <f t="shared" si="74"/>
        <v>1850000</v>
      </c>
      <c r="Q363" s="19"/>
      <c r="R363" s="129"/>
      <c r="S363" s="19"/>
      <c r="T363" s="19"/>
      <c r="U363" s="19"/>
    </row>
    <row r="364" spans="1:21" s="36" customFormat="1" hidden="1" x14ac:dyDescent="0.2">
      <c r="A364" s="37"/>
      <c r="B364" s="123"/>
      <c r="C364" s="54"/>
      <c r="D364" s="124" t="s">
        <v>510</v>
      </c>
      <c r="E364" s="56"/>
      <c r="F364" s="56"/>
      <c r="G364" s="56"/>
      <c r="H364" s="56"/>
      <c r="I364" s="56"/>
      <c r="J364" s="56">
        <f>J369</f>
        <v>0</v>
      </c>
      <c r="K364" s="56">
        <f>K369</f>
        <v>0</v>
      </c>
      <c r="L364" s="56"/>
      <c r="M364" s="56"/>
      <c r="N364" s="56"/>
      <c r="O364" s="117">
        <f>K364</f>
        <v>0</v>
      </c>
      <c r="P364" s="111">
        <f>E364+J364</f>
        <v>0</v>
      </c>
      <c r="Q364" s="8"/>
      <c r="R364" s="8"/>
      <c r="S364" s="8"/>
      <c r="T364" s="8"/>
      <c r="U364" s="8"/>
    </row>
    <row r="365" spans="1:21" x14ac:dyDescent="0.2">
      <c r="A365" s="38" t="s">
        <v>355</v>
      </c>
      <c r="B365" s="74"/>
      <c r="C365" s="61"/>
      <c r="D365" s="22" t="s">
        <v>73</v>
      </c>
      <c r="E365" s="77">
        <f>E366+E367+E370+E375</f>
        <v>1651000</v>
      </c>
      <c r="F365" s="77">
        <f>F366+F367+F370+F375</f>
        <v>1651000</v>
      </c>
      <c r="G365" s="77">
        <f>G366+G367+G370+G375</f>
        <v>1131500</v>
      </c>
      <c r="H365" s="77">
        <f>H366+H367+H370+H375</f>
        <v>0</v>
      </c>
      <c r="I365" s="77">
        <f>I366+I367+I370+I375</f>
        <v>0</v>
      </c>
      <c r="J365" s="77">
        <f t="shared" ref="J365:O365" si="80">J366+J367+J370+J375+J371+J374</f>
        <v>199000</v>
      </c>
      <c r="K365" s="77">
        <f t="shared" si="80"/>
        <v>199000</v>
      </c>
      <c r="L365" s="77">
        <f t="shared" si="80"/>
        <v>0</v>
      </c>
      <c r="M365" s="77">
        <f t="shared" si="80"/>
        <v>0</v>
      </c>
      <c r="N365" s="77">
        <f t="shared" si="80"/>
        <v>0</v>
      </c>
      <c r="O365" s="77">
        <f t="shared" si="80"/>
        <v>199000</v>
      </c>
      <c r="P365" s="77">
        <f>P366+P367+P370+P375</f>
        <v>1850000</v>
      </c>
      <c r="Q365" s="19"/>
      <c r="R365" s="19"/>
      <c r="S365" s="19"/>
      <c r="T365" s="19"/>
      <c r="U365" s="19"/>
    </row>
    <row r="366" spans="1:21" s="19" customFormat="1" ht="25.5" x14ac:dyDescent="0.2">
      <c r="A366" s="38" t="s">
        <v>356</v>
      </c>
      <c r="B366" s="25" t="s">
        <v>196</v>
      </c>
      <c r="C366" s="25" t="s">
        <v>121</v>
      </c>
      <c r="D366" s="76" t="s">
        <v>195</v>
      </c>
      <c r="E366" s="50">
        <f t="shared" ref="E366:E372" si="81">F366+I366</f>
        <v>1452000</v>
      </c>
      <c r="F366" s="51">
        <f>1247700+404300-200000</f>
        <v>1452000</v>
      </c>
      <c r="G366" s="51">
        <f>980100+331400-180000</f>
        <v>1131500</v>
      </c>
      <c r="H366" s="51"/>
      <c r="I366" s="51"/>
      <c r="J366" s="50">
        <f>L366+O366</f>
        <v>0</v>
      </c>
      <c r="K366" s="51"/>
      <c r="L366" s="51"/>
      <c r="M366" s="51"/>
      <c r="N366" s="51"/>
      <c r="O366" s="51">
        <f>K366</f>
        <v>0</v>
      </c>
      <c r="P366" s="66">
        <f t="shared" ref="P366:P377" si="82">E366+J366</f>
        <v>1452000</v>
      </c>
    </row>
    <row r="367" spans="1:21" s="19" customFormat="1" hidden="1" x14ac:dyDescent="0.2">
      <c r="A367" s="38" t="s">
        <v>359</v>
      </c>
      <c r="B367" s="25" t="s">
        <v>358</v>
      </c>
      <c r="C367" s="25" t="s">
        <v>126</v>
      </c>
      <c r="D367" s="94" t="s">
        <v>357</v>
      </c>
      <c r="E367" s="50">
        <f t="shared" si="81"/>
        <v>0</v>
      </c>
      <c r="F367" s="51"/>
      <c r="G367" s="51"/>
      <c r="H367" s="51"/>
      <c r="I367" s="51"/>
      <c r="J367" s="50">
        <f>L367+O367</f>
        <v>0</v>
      </c>
      <c r="K367" s="51"/>
      <c r="L367" s="51"/>
      <c r="M367" s="51"/>
      <c r="N367" s="51"/>
      <c r="O367" s="51">
        <f>K367</f>
        <v>0</v>
      </c>
      <c r="P367" s="66">
        <f t="shared" si="82"/>
        <v>0</v>
      </c>
    </row>
    <row r="368" spans="1:21" s="10" customFormat="1" ht="17.25" hidden="1" customHeight="1" x14ac:dyDescent="0.2">
      <c r="A368" s="37" t="s">
        <v>368</v>
      </c>
      <c r="B368" s="21" t="s">
        <v>367</v>
      </c>
      <c r="C368" s="21" t="s">
        <v>124</v>
      </c>
      <c r="D368" s="28" t="s">
        <v>366</v>
      </c>
      <c r="E368" s="50">
        <f>F368+I368</f>
        <v>0</v>
      </c>
      <c r="F368" s="69"/>
      <c r="G368" s="69"/>
      <c r="H368" s="69"/>
      <c r="I368" s="69"/>
      <c r="J368" s="50">
        <f>L368+O368</f>
        <v>0</v>
      </c>
      <c r="K368" s="69"/>
      <c r="L368" s="69"/>
      <c r="M368" s="69"/>
      <c r="N368" s="69"/>
      <c r="O368" s="69">
        <f>K368</f>
        <v>0</v>
      </c>
      <c r="P368" s="66">
        <f>E368+J368</f>
        <v>0</v>
      </c>
      <c r="Q368" s="8"/>
      <c r="R368" s="8"/>
      <c r="S368" s="8"/>
      <c r="T368" s="8"/>
      <c r="U368" s="8"/>
    </row>
    <row r="369" spans="1:21" s="10" customFormat="1" hidden="1" x14ac:dyDescent="0.2">
      <c r="A369" s="37"/>
      <c r="B369" s="21"/>
      <c r="C369" s="21"/>
      <c r="D369" s="28" t="s">
        <v>510</v>
      </c>
      <c r="E369" s="47"/>
      <c r="F369" s="69"/>
      <c r="G369" s="69"/>
      <c r="H369" s="69"/>
      <c r="I369" s="69"/>
      <c r="J369" s="50">
        <f>K369</f>
        <v>0</v>
      </c>
      <c r="K369" s="69"/>
      <c r="L369" s="69"/>
      <c r="M369" s="69"/>
      <c r="N369" s="69"/>
      <c r="O369" s="69">
        <f>K369</f>
        <v>0</v>
      </c>
      <c r="P369" s="66">
        <f>E369+J369</f>
        <v>0</v>
      </c>
      <c r="Q369" s="8"/>
      <c r="R369" s="8"/>
      <c r="S369" s="8"/>
      <c r="T369" s="8"/>
      <c r="U369" s="8"/>
    </row>
    <row r="370" spans="1:21" s="19" customFormat="1" x14ac:dyDescent="0.2">
      <c r="A370" s="38" t="s">
        <v>362</v>
      </c>
      <c r="B370" s="25" t="s">
        <v>361</v>
      </c>
      <c r="C370" s="25" t="s">
        <v>127</v>
      </c>
      <c r="D370" s="26" t="s">
        <v>360</v>
      </c>
      <c r="E370" s="50">
        <f t="shared" si="81"/>
        <v>0</v>
      </c>
      <c r="F370" s="51"/>
      <c r="G370" s="51"/>
      <c r="H370" s="51"/>
      <c r="I370" s="51"/>
      <c r="J370" s="50">
        <f>L370+O370</f>
        <v>199000</v>
      </c>
      <c r="K370" s="51">
        <v>199000</v>
      </c>
      <c r="L370" s="51"/>
      <c r="M370" s="51"/>
      <c r="N370" s="51"/>
      <c r="O370" s="51">
        <f>K370</f>
        <v>199000</v>
      </c>
      <c r="P370" s="66">
        <f t="shared" si="82"/>
        <v>199000</v>
      </c>
    </row>
    <row r="371" spans="1:21" ht="17.25" hidden="1" customHeight="1" x14ac:dyDescent="0.2">
      <c r="A371" s="38" t="s">
        <v>365</v>
      </c>
      <c r="B371" s="46" t="s">
        <v>364</v>
      </c>
      <c r="C371" s="46"/>
      <c r="D371" s="27" t="s">
        <v>363</v>
      </c>
      <c r="E371" s="50">
        <f t="shared" si="81"/>
        <v>0</v>
      </c>
      <c r="F371" s="71">
        <f>F368</f>
        <v>0</v>
      </c>
      <c r="G371" s="71">
        <f>G368</f>
        <v>0</v>
      </c>
      <c r="H371" s="71">
        <f>H368</f>
        <v>0</v>
      </c>
      <c r="I371" s="71">
        <f>I368</f>
        <v>0</v>
      </c>
      <c r="J371" s="71">
        <f t="shared" ref="J371:O371" si="83">J368+J372</f>
        <v>0</v>
      </c>
      <c r="K371" s="71">
        <f t="shared" si="83"/>
        <v>0</v>
      </c>
      <c r="L371" s="71">
        <f t="shared" si="83"/>
        <v>0</v>
      </c>
      <c r="M371" s="71">
        <f t="shared" si="83"/>
        <v>0</v>
      </c>
      <c r="N371" s="71">
        <f t="shared" si="83"/>
        <v>0</v>
      </c>
      <c r="O371" s="71">
        <f t="shared" si="83"/>
        <v>0</v>
      </c>
      <c r="P371" s="66">
        <f t="shared" si="82"/>
        <v>0</v>
      </c>
      <c r="Q371" s="19"/>
      <c r="R371" s="19"/>
      <c r="S371" s="19"/>
      <c r="T371" s="19"/>
      <c r="U371" s="19"/>
    </row>
    <row r="372" spans="1:21" s="10" customFormat="1" ht="38.25" hidden="1" x14ac:dyDescent="0.2">
      <c r="A372" s="37" t="s">
        <v>555</v>
      </c>
      <c r="B372" s="21" t="s">
        <v>556</v>
      </c>
      <c r="C372" s="21"/>
      <c r="D372" s="32" t="s">
        <v>557</v>
      </c>
      <c r="E372" s="50">
        <f t="shared" si="81"/>
        <v>0</v>
      </c>
      <c r="F372" s="69"/>
      <c r="G372" s="69"/>
      <c r="H372" s="69"/>
      <c r="I372" s="69"/>
      <c r="J372" s="50">
        <f>L372+O372</f>
        <v>0</v>
      </c>
      <c r="K372" s="69"/>
      <c r="L372" s="69"/>
      <c r="M372" s="69"/>
      <c r="N372" s="69"/>
      <c r="O372" s="69">
        <f>K372</f>
        <v>0</v>
      </c>
      <c r="P372" s="66">
        <f t="shared" si="82"/>
        <v>0</v>
      </c>
      <c r="Q372" s="8"/>
      <c r="R372" s="8"/>
      <c r="S372" s="8"/>
      <c r="T372" s="8"/>
      <c r="U372" s="8"/>
    </row>
    <row r="373" spans="1:21" s="10" customFormat="1" ht="51" hidden="1" x14ac:dyDescent="0.2">
      <c r="A373" s="37"/>
      <c r="B373" s="21"/>
      <c r="C373" s="21"/>
      <c r="D373" s="28" t="s">
        <v>558</v>
      </c>
      <c r="E373" s="50"/>
      <c r="F373" s="69"/>
      <c r="G373" s="69"/>
      <c r="H373" s="69"/>
      <c r="I373" s="69"/>
      <c r="J373" s="50">
        <f>L373+O373</f>
        <v>0</v>
      </c>
      <c r="K373" s="69"/>
      <c r="L373" s="69"/>
      <c r="M373" s="69"/>
      <c r="N373" s="69"/>
      <c r="O373" s="69">
        <f>K373</f>
        <v>0</v>
      </c>
      <c r="P373" s="66">
        <f t="shared" si="82"/>
        <v>0</v>
      </c>
      <c r="Q373" s="8"/>
      <c r="R373" s="8"/>
      <c r="S373" s="8"/>
      <c r="T373" s="8"/>
      <c r="U373" s="8"/>
    </row>
    <row r="374" spans="1:21" hidden="1" x14ac:dyDescent="0.2">
      <c r="A374" s="38" t="s">
        <v>504</v>
      </c>
      <c r="B374" s="46" t="s">
        <v>183</v>
      </c>
      <c r="C374" s="46" t="s">
        <v>127</v>
      </c>
      <c r="D374" s="32" t="s">
        <v>347</v>
      </c>
      <c r="E374" s="50"/>
      <c r="F374" s="71"/>
      <c r="G374" s="71"/>
      <c r="H374" s="71"/>
      <c r="I374" s="71"/>
      <c r="J374" s="50">
        <f>L374+O374</f>
        <v>0</v>
      </c>
      <c r="K374" s="71"/>
      <c r="L374" s="71"/>
      <c r="M374" s="71"/>
      <c r="N374" s="71"/>
      <c r="O374" s="71">
        <f>K374</f>
        <v>0</v>
      </c>
      <c r="P374" s="66">
        <f t="shared" si="82"/>
        <v>0</v>
      </c>
      <c r="Q374" s="19"/>
      <c r="R374" s="19"/>
      <c r="S374" s="19"/>
      <c r="T374" s="19"/>
      <c r="U374" s="19"/>
    </row>
    <row r="375" spans="1:21" hidden="1" x14ac:dyDescent="0.2">
      <c r="A375" s="38" t="s">
        <v>485</v>
      </c>
      <c r="B375" s="46" t="s">
        <v>188</v>
      </c>
      <c r="C375" s="46"/>
      <c r="D375" s="32" t="s">
        <v>190</v>
      </c>
      <c r="E375" s="50">
        <f>E376</f>
        <v>199000</v>
      </c>
      <c r="F375" s="50">
        <f t="shared" ref="F375:O375" si="84">F376</f>
        <v>199000</v>
      </c>
      <c r="G375" s="50">
        <f t="shared" si="84"/>
        <v>0</v>
      </c>
      <c r="H375" s="50">
        <f t="shared" si="84"/>
        <v>0</v>
      </c>
      <c r="I375" s="50">
        <f t="shared" si="84"/>
        <v>0</v>
      </c>
      <c r="J375" s="50">
        <f t="shared" si="84"/>
        <v>0</v>
      </c>
      <c r="K375" s="50">
        <f>K376</f>
        <v>0</v>
      </c>
      <c r="L375" s="50">
        <f t="shared" si="84"/>
        <v>0</v>
      </c>
      <c r="M375" s="50">
        <f t="shared" si="84"/>
        <v>0</v>
      </c>
      <c r="N375" s="50">
        <f t="shared" si="84"/>
        <v>0</v>
      </c>
      <c r="O375" s="50">
        <f t="shared" si="84"/>
        <v>0</v>
      </c>
      <c r="P375" s="66">
        <f t="shared" si="82"/>
        <v>199000</v>
      </c>
      <c r="Q375" s="19"/>
      <c r="R375" s="19"/>
      <c r="S375" s="19"/>
      <c r="T375" s="19"/>
      <c r="U375" s="19"/>
    </row>
    <row r="376" spans="1:21" s="10" customFormat="1" ht="16.899999999999999" customHeight="1" x14ac:dyDescent="0.2">
      <c r="A376" s="37" t="s">
        <v>486</v>
      </c>
      <c r="B376" s="21" t="s">
        <v>192</v>
      </c>
      <c r="C376" s="21" t="s">
        <v>127</v>
      </c>
      <c r="D376" s="28" t="s">
        <v>193</v>
      </c>
      <c r="E376" s="47">
        <f>F376+I376</f>
        <v>199000</v>
      </c>
      <c r="F376" s="69">
        <v>199000</v>
      </c>
      <c r="G376" s="69"/>
      <c r="H376" s="69"/>
      <c r="I376" s="69"/>
      <c r="J376" s="50">
        <f>L376+O376</f>
        <v>0</v>
      </c>
      <c r="K376" s="69"/>
      <c r="L376" s="69"/>
      <c r="M376" s="69"/>
      <c r="N376" s="69"/>
      <c r="O376" s="69"/>
      <c r="P376" s="80">
        <f t="shared" si="82"/>
        <v>199000</v>
      </c>
      <c r="Q376" s="8"/>
      <c r="R376" s="8"/>
      <c r="S376" s="8"/>
      <c r="T376" s="8"/>
      <c r="U376" s="8"/>
    </row>
    <row r="377" spans="1:21" s="19" customFormat="1" ht="15" customHeight="1" x14ac:dyDescent="0.2">
      <c r="A377" s="39">
        <v>3700000</v>
      </c>
      <c r="B377" s="29"/>
      <c r="C377" s="30"/>
      <c r="D377" s="119" t="s">
        <v>75</v>
      </c>
      <c r="E377" s="100">
        <f>E378</f>
        <v>20429895</v>
      </c>
      <c r="F377" s="100">
        <f t="shared" ref="F377:O377" si="85">F378</f>
        <v>17531005</v>
      </c>
      <c r="G377" s="100">
        <f t="shared" si="85"/>
        <v>6171200</v>
      </c>
      <c r="H377" s="100">
        <f t="shared" si="85"/>
        <v>78600</v>
      </c>
      <c r="I377" s="100">
        <f t="shared" si="85"/>
        <v>0</v>
      </c>
      <c r="J377" s="100">
        <f t="shared" si="85"/>
        <v>1937800</v>
      </c>
      <c r="K377" s="100">
        <f>K378</f>
        <v>1937800</v>
      </c>
      <c r="L377" s="100">
        <f t="shared" si="85"/>
        <v>0</v>
      </c>
      <c r="M377" s="100">
        <f t="shared" si="85"/>
        <v>0</v>
      </c>
      <c r="N377" s="100">
        <f t="shared" si="85"/>
        <v>0</v>
      </c>
      <c r="O377" s="100">
        <f t="shared" si="85"/>
        <v>1937800</v>
      </c>
      <c r="P377" s="66">
        <f t="shared" si="82"/>
        <v>22367695</v>
      </c>
      <c r="R377" s="129"/>
    </row>
    <row r="378" spans="1:21" s="19" customFormat="1" x14ac:dyDescent="0.2">
      <c r="A378" s="38" t="s">
        <v>369</v>
      </c>
      <c r="B378" s="31"/>
      <c r="C378" s="30"/>
      <c r="D378" s="78" t="s">
        <v>75</v>
      </c>
      <c r="E378" s="100">
        <f>E379+E381+E383+E380+E382</f>
        <v>20429895</v>
      </c>
      <c r="F378" s="100">
        <f t="shared" ref="F378:P378" si="86">F379+F381+F383+F380+F382</f>
        <v>17531005</v>
      </c>
      <c r="G378" s="100">
        <f t="shared" si="86"/>
        <v>6171200</v>
      </c>
      <c r="H378" s="100">
        <f t="shared" si="86"/>
        <v>78600</v>
      </c>
      <c r="I378" s="100">
        <f t="shared" si="86"/>
        <v>0</v>
      </c>
      <c r="J378" s="100">
        <f>J379+J381+J383+J380+J382</f>
        <v>1937800</v>
      </c>
      <c r="K378" s="100">
        <f>K379+K381+K383+K380+K382</f>
        <v>1937800</v>
      </c>
      <c r="L378" s="100">
        <f t="shared" si="86"/>
        <v>0</v>
      </c>
      <c r="M378" s="100">
        <f t="shared" si="86"/>
        <v>0</v>
      </c>
      <c r="N378" s="100">
        <f t="shared" si="86"/>
        <v>0</v>
      </c>
      <c r="O378" s="100">
        <f t="shared" si="86"/>
        <v>1937800</v>
      </c>
      <c r="P378" s="100">
        <f t="shared" si="86"/>
        <v>22367695</v>
      </c>
    </row>
    <row r="379" spans="1:21" s="19" customFormat="1" ht="25.9" customHeight="1" x14ac:dyDescent="0.2">
      <c r="A379" s="38" t="s">
        <v>370</v>
      </c>
      <c r="B379" s="25" t="s">
        <v>196</v>
      </c>
      <c r="C379" s="25" t="s">
        <v>121</v>
      </c>
      <c r="D379" s="76" t="s">
        <v>195</v>
      </c>
      <c r="E379" s="50">
        <f>F379+I379</f>
        <v>7997700</v>
      </c>
      <c r="F379" s="51">
        <f>7544700+453000</f>
        <v>7997700</v>
      </c>
      <c r="G379" s="51">
        <f>5800000+371200</f>
        <v>6171200</v>
      </c>
      <c r="H379" s="51">
        <f>105600-10000-17000</f>
        <v>78600</v>
      </c>
      <c r="I379" s="51"/>
      <c r="J379" s="50">
        <f>L379+O379</f>
        <v>719800</v>
      </c>
      <c r="K379" s="51">
        <f>4341800-1900000-800000-100000-822000</f>
        <v>719800</v>
      </c>
      <c r="L379" s="51"/>
      <c r="M379" s="51"/>
      <c r="N379" s="51"/>
      <c r="O379" s="51">
        <f>K379</f>
        <v>719800</v>
      </c>
      <c r="P379" s="66">
        <f>E379+J379</f>
        <v>8717500</v>
      </c>
    </row>
    <row r="380" spans="1:21" s="19" customFormat="1" x14ac:dyDescent="0.2">
      <c r="A380" s="38" t="s">
        <v>540</v>
      </c>
      <c r="B380" s="25" t="s">
        <v>29</v>
      </c>
      <c r="C380" s="25" t="s">
        <v>541</v>
      </c>
      <c r="D380" s="73" t="s">
        <v>542</v>
      </c>
      <c r="E380" s="50">
        <f>F380+I380</f>
        <v>9138805</v>
      </c>
      <c r="F380" s="51">
        <f>10488805-1350000</f>
        <v>9138805</v>
      </c>
      <c r="G380" s="51"/>
      <c r="H380" s="51"/>
      <c r="I380" s="51"/>
      <c r="J380" s="50"/>
      <c r="K380" s="51"/>
      <c r="L380" s="51"/>
      <c r="M380" s="51"/>
      <c r="N380" s="51"/>
      <c r="O380" s="51"/>
      <c r="P380" s="66">
        <f>E380+J380</f>
        <v>9138805</v>
      </c>
    </row>
    <row r="381" spans="1:21" s="19" customFormat="1" x14ac:dyDescent="0.2">
      <c r="A381" s="38" t="s">
        <v>372</v>
      </c>
      <c r="B381" s="31" t="s">
        <v>371</v>
      </c>
      <c r="C381" s="25" t="s">
        <v>134</v>
      </c>
      <c r="D381" s="76" t="s">
        <v>76</v>
      </c>
      <c r="E381" s="66">
        <v>2898890</v>
      </c>
      <c r="F381" s="51"/>
      <c r="G381" s="51"/>
      <c r="H381" s="51"/>
      <c r="I381" s="51"/>
      <c r="J381" s="50">
        <f>L381+O381</f>
        <v>0</v>
      </c>
      <c r="K381" s="51"/>
      <c r="L381" s="51"/>
      <c r="M381" s="51"/>
      <c r="N381" s="51"/>
      <c r="O381" s="51">
        <f>K381</f>
        <v>0</v>
      </c>
      <c r="P381" s="66">
        <f>E381+J381</f>
        <v>2898890</v>
      </c>
    </row>
    <row r="382" spans="1:21" s="19" customFormat="1" ht="20.25" hidden="1" customHeight="1" x14ac:dyDescent="0.2">
      <c r="A382" s="38" t="s">
        <v>524</v>
      </c>
      <c r="B382" s="31" t="s">
        <v>525</v>
      </c>
      <c r="C382" s="25" t="s">
        <v>514</v>
      </c>
      <c r="D382" s="76" t="s">
        <v>526</v>
      </c>
      <c r="E382" s="100">
        <v>0</v>
      </c>
      <c r="F382" s="51"/>
      <c r="G382" s="51"/>
      <c r="H382" s="51"/>
      <c r="I382" s="51"/>
      <c r="J382" s="50">
        <f>L382+O382</f>
        <v>0</v>
      </c>
      <c r="K382" s="51"/>
      <c r="L382" s="51"/>
      <c r="M382" s="51"/>
      <c r="N382" s="51"/>
      <c r="O382" s="51">
        <f>K382</f>
        <v>0</v>
      </c>
      <c r="P382" s="66">
        <f>E382+J382</f>
        <v>0</v>
      </c>
    </row>
    <row r="383" spans="1:21" s="19" customFormat="1" ht="26.25" customHeight="1" x14ac:dyDescent="0.2">
      <c r="A383" s="38" t="s">
        <v>515</v>
      </c>
      <c r="B383" s="31" t="s">
        <v>512</v>
      </c>
      <c r="C383" s="25" t="s">
        <v>514</v>
      </c>
      <c r="D383" s="76" t="s">
        <v>513</v>
      </c>
      <c r="E383" s="100">
        <f>F383+I383</f>
        <v>394500</v>
      </c>
      <c r="F383" s="51">
        <v>394500</v>
      </c>
      <c r="G383" s="51"/>
      <c r="H383" s="51"/>
      <c r="I383" s="51"/>
      <c r="J383" s="50">
        <f>L383+O383</f>
        <v>1218000</v>
      </c>
      <c r="K383" s="51">
        <v>1218000</v>
      </c>
      <c r="L383" s="51"/>
      <c r="M383" s="51"/>
      <c r="N383" s="51"/>
      <c r="O383" s="51">
        <f>K383</f>
        <v>1218000</v>
      </c>
      <c r="P383" s="66">
        <f>E383+J383</f>
        <v>1612500</v>
      </c>
    </row>
    <row r="384" spans="1:21" ht="15.75" customHeight="1" x14ac:dyDescent="0.2">
      <c r="A384" s="38"/>
      <c r="B384" s="74"/>
      <c r="C384" s="118"/>
      <c r="D384" s="119" t="s">
        <v>77</v>
      </c>
      <c r="E384" s="77">
        <f>E14+E41+E84+E144+E234+E240+E253+E271+E305+E363+E377</f>
        <v>899749248</v>
      </c>
      <c r="F384" s="77">
        <f t="shared" ref="F384:O384" si="87">F14+F41+F84+F144+F234+F240+F253+F271+F305+F363+F377</f>
        <v>896850358</v>
      </c>
      <c r="G384" s="77">
        <f t="shared" si="87"/>
        <v>443504187</v>
      </c>
      <c r="H384" s="77">
        <f t="shared" si="87"/>
        <v>51257398</v>
      </c>
      <c r="I384" s="77">
        <f t="shared" si="87"/>
        <v>0</v>
      </c>
      <c r="J384" s="77">
        <f t="shared" si="87"/>
        <v>599044966</v>
      </c>
      <c r="K384" s="77">
        <f t="shared" si="87"/>
        <v>531011598</v>
      </c>
      <c r="L384" s="77">
        <f t="shared" si="87"/>
        <v>27243308</v>
      </c>
      <c r="M384" s="77">
        <f t="shared" si="87"/>
        <v>2906550</v>
      </c>
      <c r="N384" s="77">
        <f t="shared" si="87"/>
        <v>783116</v>
      </c>
      <c r="O384" s="77">
        <f t="shared" si="87"/>
        <v>571801658</v>
      </c>
      <c r="P384" s="77">
        <f>P14+P41+P84+P144+P234+P240+P253+P271+P305+P363+P377</f>
        <v>1498794214</v>
      </c>
      <c r="Q384" s="19"/>
      <c r="R384" s="129"/>
      <c r="S384" s="19"/>
      <c r="T384" s="19"/>
      <c r="U384" s="19"/>
    </row>
    <row r="385" spans="1:21" x14ac:dyDescent="0.2">
      <c r="A385" s="157"/>
      <c r="B385" s="45"/>
      <c r="C385" s="158"/>
      <c r="P385" s="129"/>
      <c r="Q385" s="19"/>
      <c r="R385" s="19"/>
      <c r="S385" s="19"/>
      <c r="T385" s="19"/>
      <c r="U385" s="19"/>
    </row>
    <row r="386" spans="1:21" ht="19.5" customHeight="1" x14ac:dyDescent="0.2">
      <c r="A386" s="157"/>
      <c r="B386" s="45"/>
      <c r="C386" s="158"/>
      <c r="D386" s="5" t="s">
        <v>645</v>
      </c>
      <c r="E386" s="5"/>
      <c r="F386" s="5"/>
      <c r="G386" s="5"/>
      <c r="H386" s="5"/>
      <c r="I386" s="5"/>
      <c r="J386" s="5"/>
      <c r="K386" s="5"/>
      <c r="O386" s="5" t="s">
        <v>646</v>
      </c>
    </row>
    <row r="387" spans="1:21" ht="24" customHeight="1" x14ac:dyDescent="0.25">
      <c r="A387" s="157"/>
      <c r="B387" s="45"/>
      <c r="C387" s="158"/>
      <c r="D387" s="171" t="s">
        <v>648</v>
      </c>
      <c r="E387" s="172"/>
      <c r="O387" t="s">
        <v>649</v>
      </c>
    </row>
    <row r="388" spans="1:21" ht="13.9" hidden="1" customHeight="1" x14ac:dyDescent="0.2"/>
    <row r="389" spans="1:21" hidden="1" x14ac:dyDescent="0.2">
      <c r="E389" s="18">
        <v>1022152507</v>
      </c>
      <c r="J389" s="18">
        <v>341349762</v>
      </c>
      <c r="K389" s="18">
        <v>273436394</v>
      </c>
      <c r="P389" s="18">
        <v>1363502269</v>
      </c>
      <c r="Q389" s="18" t="s">
        <v>598</v>
      </c>
      <c r="R389" s="18" t="s">
        <v>603</v>
      </c>
    </row>
    <row r="390" spans="1:21" hidden="1" x14ac:dyDescent="0.2">
      <c r="E390" s="18">
        <f>E389-E384</f>
        <v>122403259</v>
      </c>
      <c r="J390" s="18">
        <f>J389-J384</f>
        <v>-257695204</v>
      </c>
      <c r="K390" s="18">
        <f>K389-K384</f>
        <v>-257575204</v>
      </c>
      <c r="P390" s="18">
        <f>P389-P384</f>
        <v>-135291945</v>
      </c>
      <c r="Q390" s="18" t="s">
        <v>602</v>
      </c>
      <c r="R390" s="18" t="s">
        <v>604</v>
      </c>
    </row>
    <row r="391" spans="1:21" hidden="1" x14ac:dyDescent="0.2">
      <c r="E391" s="18">
        <v>120403259</v>
      </c>
      <c r="J391" s="18">
        <f>'[1]додаток 2  (3)'!$E$26</f>
        <v>254245204</v>
      </c>
      <c r="K391" s="18">
        <f>'[1]додаток 2  (3)'!$F$26</f>
        <v>254125204</v>
      </c>
      <c r="P391" s="18">
        <v>133841945</v>
      </c>
      <c r="Q391" s="18" t="s">
        <v>600</v>
      </c>
      <c r="R391" s="18" t="s">
        <v>599</v>
      </c>
    </row>
    <row r="392" spans="1:21" hidden="1" x14ac:dyDescent="0.2">
      <c r="E392" s="18">
        <f>E390-E391</f>
        <v>2000000</v>
      </c>
      <c r="J392" s="18">
        <f>J390+J391</f>
        <v>-3450000</v>
      </c>
      <c r="K392" s="18">
        <f>K391+K390</f>
        <v>-3450000</v>
      </c>
      <c r="P392" s="18">
        <f>P391+P390</f>
        <v>-1450000</v>
      </c>
    </row>
    <row r="393" spans="1:21" hidden="1" x14ac:dyDescent="0.2">
      <c r="E393" s="18">
        <v>2000000</v>
      </c>
      <c r="J393" s="159">
        <v>-3450000</v>
      </c>
      <c r="K393" s="159">
        <v>-3450000</v>
      </c>
      <c r="L393" s="159"/>
      <c r="M393" s="159"/>
      <c r="N393" s="159"/>
      <c r="O393" s="159"/>
      <c r="P393" s="159">
        <v>1450000</v>
      </c>
      <c r="Q393" s="18" t="s">
        <v>601</v>
      </c>
      <c r="R393" s="18" t="s">
        <v>605</v>
      </c>
    </row>
    <row r="394" spans="1:21" hidden="1" x14ac:dyDescent="0.2">
      <c r="E394" s="18">
        <f>E393-E392</f>
        <v>0</v>
      </c>
      <c r="J394" s="18">
        <f>J393-J392</f>
        <v>0</v>
      </c>
      <c r="K394" s="18">
        <f>K393-K392</f>
        <v>0</v>
      </c>
      <c r="P394" s="18">
        <f>P389+P391+P393-P384</f>
        <v>0</v>
      </c>
    </row>
    <row r="395" spans="1:21" hidden="1" x14ac:dyDescent="0.2"/>
  </sheetData>
  <mergeCells count="25">
    <mergeCell ref="P9:P12"/>
    <mergeCell ref="E10:E12"/>
    <mergeCell ref="F10:F12"/>
    <mergeCell ref="G10:H10"/>
    <mergeCell ref="I10:I12"/>
    <mergeCell ref="O10:O12"/>
    <mergeCell ref="G11:G12"/>
    <mergeCell ref="H11:H12"/>
    <mergeCell ref="E9:I9"/>
    <mergeCell ref="N11:N12"/>
    <mergeCell ref="J10:J12"/>
    <mergeCell ref="K10:K12"/>
    <mergeCell ref="M10:N10"/>
    <mergeCell ref="L10:L12"/>
    <mergeCell ref="D387:E387"/>
    <mergeCell ref="N2:P2"/>
    <mergeCell ref="N4:P4"/>
    <mergeCell ref="C5:P5"/>
    <mergeCell ref="C6:P6"/>
    <mergeCell ref="A9:A12"/>
    <mergeCell ref="B9:B12"/>
    <mergeCell ref="C9:C12"/>
    <mergeCell ref="D9:D12"/>
    <mergeCell ref="M11:M12"/>
    <mergeCell ref="J9:O9"/>
  </mergeCells>
  <phoneticPr fontId="13" type="noConversion"/>
  <hyperlinks>
    <hyperlink ref="C302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5" fitToHeight="5" orientation="landscape" r:id="rId1"/>
  <headerFooter differentFirst="1" alignWithMargins="0">
    <oddHeader>&amp;RПродовження додатка</oddHeader>
  </headerFooter>
  <rowBreaks count="1" manualBreakCount="1">
    <brk id="23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2020-12-14T10:50:16Z</cp:lastPrinted>
  <dcterms:created xsi:type="dcterms:W3CDTF">2016-02-15T14:53:30Z</dcterms:created>
  <dcterms:modified xsi:type="dcterms:W3CDTF">2021-08-11T10:30:47Z</dcterms:modified>
</cp:coreProperties>
</file>